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7526"/>
  <workbookPr autoCompressPictures="0"/>
  <bookViews>
    <workbookView xWindow="240" yWindow="240" windowWidth="25360" windowHeight="15820"/>
  </bookViews>
  <sheets>
    <sheet name="FY25" sheetId="1" r:id="rId1"/>
  </sheets>
  <externalReferences>
    <externalReference r:id="rId2"/>
  </externalReferences>
  <definedNames>
    <definedName name="FiscalYear">'[1]1- LEA Name, FY, Instructions'!$A$2</definedName>
    <definedName name="GLEnrollment">'[1]2- LEA Bud Enrollment Next FY'!$B$23</definedName>
    <definedName name="LEA_Name">'[1]1- LEA Name, FY, Instructions'!$C$2</definedName>
    <definedName name="OutOfRange">'[1]Explanations Support Hidden'!$A$6:$K$32</definedName>
    <definedName name="PY_Budget">'[1]PY Budget'!$A$1</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1" i="1" l="1"/>
  <c r="T59" i="1"/>
  <c r="T53" i="1"/>
  <c r="T60" i="1"/>
  <c r="R48" i="1"/>
  <c r="Q48" i="1"/>
  <c r="P48" i="1"/>
  <c r="S48" i="1"/>
  <c r="N48" i="1"/>
  <c r="M48" i="1"/>
  <c r="L48" i="1"/>
  <c r="O48" i="1"/>
  <c r="H48" i="1"/>
  <c r="I48" i="1"/>
  <c r="J48" i="1"/>
  <c r="K48" i="1"/>
  <c r="D48" i="1"/>
  <c r="E48" i="1"/>
  <c r="F48" i="1"/>
  <c r="G48" i="1"/>
  <c r="E49" i="1"/>
  <c r="F49" i="1"/>
  <c r="G49" i="1"/>
  <c r="H49" i="1"/>
  <c r="I49" i="1"/>
  <c r="J49" i="1"/>
  <c r="K49" i="1"/>
  <c r="L49" i="1"/>
  <c r="M49" i="1"/>
  <c r="N49" i="1"/>
  <c r="O49" i="1"/>
  <c r="P49" i="1"/>
  <c r="Q49" i="1"/>
  <c r="R49" i="1"/>
  <c r="S49" i="1"/>
  <c r="T49" i="1"/>
  <c r="S47" i="1"/>
  <c r="O47" i="1"/>
  <c r="K47" i="1"/>
  <c r="G47" i="1"/>
  <c r="T47" i="1"/>
  <c r="S46" i="1"/>
  <c r="O46" i="1"/>
  <c r="K46" i="1"/>
  <c r="G46" i="1"/>
  <c r="T46" i="1"/>
  <c r="G45" i="1"/>
  <c r="K45" i="1"/>
  <c r="O45" i="1"/>
  <c r="S45" i="1"/>
  <c r="T45" i="1"/>
  <c r="R42" i="1"/>
  <c r="Q42" i="1"/>
  <c r="P42" i="1"/>
  <c r="N42" i="1"/>
  <c r="M42" i="1"/>
  <c r="L42" i="1"/>
  <c r="J42" i="1"/>
  <c r="I42" i="1"/>
  <c r="H42" i="1"/>
  <c r="F42" i="1"/>
  <c r="E42" i="1"/>
  <c r="D42" i="1"/>
  <c r="G41" i="1"/>
  <c r="K41" i="1"/>
  <c r="O41" i="1"/>
  <c r="S41" i="1"/>
  <c r="T41" i="1"/>
  <c r="R40" i="1"/>
  <c r="Q40" i="1"/>
  <c r="P40" i="1"/>
  <c r="N40" i="1"/>
  <c r="M40" i="1"/>
  <c r="L40" i="1"/>
  <c r="J40" i="1"/>
  <c r="I40" i="1"/>
  <c r="H40" i="1"/>
  <c r="F40" i="1"/>
  <c r="E40" i="1"/>
  <c r="D40" i="1"/>
  <c r="S39" i="1"/>
  <c r="G39" i="1"/>
  <c r="K39" i="1"/>
  <c r="O39" i="1"/>
  <c r="T39" i="1"/>
  <c r="R36" i="1"/>
  <c r="Q36" i="1"/>
  <c r="P36" i="1"/>
  <c r="S36" i="1"/>
  <c r="L36" i="1"/>
  <c r="M36" i="1"/>
  <c r="N36" i="1"/>
  <c r="O36" i="1"/>
  <c r="H36" i="1"/>
  <c r="I36" i="1"/>
  <c r="J36" i="1"/>
  <c r="K36" i="1"/>
  <c r="F36" i="1"/>
  <c r="E36" i="1"/>
  <c r="D36" i="1"/>
  <c r="G36" i="1"/>
  <c r="G35" i="1"/>
  <c r="K35" i="1"/>
  <c r="O35" i="1"/>
  <c r="S35" i="1"/>
  <c r="T35" i="1"/>
  <c r="S34" i="1"/>
  <c r="O34" i="1"/>
  <c r="K34" i="1"/>
  <c r="G34" i="1"/>
  <c r="T34" i="1"/>
  <c r="S33" i="1"/>
  <c r="O33" i="1"/>
  <c r="K33" i="1"/>
  <c r="G33" i="1"/>
  <c r="T33" i="1"/>
  <c r="S32" i="1"/>
  <c r="O32" i="1"/>
  <c r="K32" i="1"/>
  <c r="G32" i="1"/>
  <c r="T32" i="1"/>
  <c r="M29" i="1"/>
  <c r="M30" i="1"/>
  <c r="M31" i="1"/>
  <c r="L29" i="1"/>
  <c r="L30" i="1"/>
  <c r="L31" i="1"/>
  <c r="N29" i="1"/>
  <c r="N30" i="1"/>
  <c r="N31" i="1"/>
  <c r="O31" i="1"/>
  <c r="H29" i="1"/>
  <c r="H30" i="1"/>
  <c r="H31" i="1"/>
  <c r="I29" i="1"/>
  <c r="I30" i="1"/>
  <c r="I31" i="1"/>
  <c r="J29" i="1"/>
  <c r="J30" i="1"/>
  <c r="J31" i="1"/>
  <c r="K31" i="1"/>
  <c r="R30" i="1"/>
  <c r="Q30" i="1"/>
  <c r="P30" i="1"/>
  <c r="S30" i="1"/>
  <c r="O30" i="1"/>
  <c r="K30" i="1"/>
  <c r="F30" i="1"/>
  <c r="E30" i="1"/>
  <c r="D30" i="1"/>
  <c r="G30" i="1"/>
  <c r="R29" i="1"/>
  <c r="R31" i="1"/>
  <c r="Q29" i="1"/>
  <c r="Q31" i="1"/>
  <c r="P29" i="1"/>
  <c r="P31" i="1"/>
  <c r="O29" i="1"/>
  <c r="K29" i="1"/>
  <c r="F29" i="1"/>
  <c r="F31" i="1"/>
  <c r="E29" i="1"/>
  <c r="E31" i="1"/>
  <c r="D29" i="1"/>
  <c r="D31" i="1"/>
  <c r="S28" i="1"/>
  <c r="O28" i="1"/>
  <c r="K28" i="1"/>
  <c r="G28" i="1"/>
  <c r="T28" i="1"/>
  <c r="G27" i="1"/>
  <c r="K27" i="1"/>
  <c r="O27" i="1"/>
  <c r="S27" i="1"/>
  <c r="T27" i="1"/>
  <c r="S26" i="1"/>
  <c r="O26" i="1"/>
  <c r="K26" i="1"/>
  <c r="G26" i="1"/>
  <c r="T26" i="1"/>
  <c r="S25" i="1"/>
  <c r="O25" i="1"/>
  <c r="K25" i="1"/>
  <c r="G25" i="1"/>
  <c r="T25" i="1"/>
  <c r="S24" i="1"/>
  <c r="O24" i="1"/>
  <c r="K24" i="1"/>
  <c r="G24" i="1"/>
  <c r="T24" i="1"/>
  <c r="G23" i="1"/>
  <c r="K23" i="1"/>
  <c r="O23" i="1"/>
  <c r="S23" i="1"/>
  <c r="T23" i="1"/>
  <c r="S22" i="1"/>
  <c r="O22" i="1"/>
  <c r="K22" i="1"/>
  <c r="G22" i="1"/>
  <c r="T22" i="1"/>
  <c r="R21" i="1"/>
  <c r="P21" i="1"/>
  <c r="Q21" i="1"/>
  <c r="S21" i="1"/>
  <c r="N21" i="1"/>
  <c r="M21" i="1"/>
  <c r="L21" i="1"/>
  <c r="O21" i="1"/>
  <c r="J21" i="1"/>
  <c r="I21" i="1"/>
  <c r="H21" i="1"/>
  <c r="K21" i="1"/>
  <c r="F21" i="1"/>
  <c r="D21" i="1"/>
  <c r="E21" i="1"/>
  <c r="G21" i="1"/>
  <c r="S20" i="1"/>
  <c r="O20" i="1"/>
  <c r="K20" i="1"/>
  <c r="G20" i="1"/>
  <c r="T20" i="1"/>
  <c r="G19" i="1"/>
  <c r="K19" i="1"/>
  <c r="O19" i="1"/>
  <c r="S19" i="1"/>
  <c r="T19" i="1"/>
  <c r="S18" i="1"/>
  <c r="O18" i="1"/>
  <c r="K18" i="1"/>
  <c r="G18" i="1"/>
  <c r="T18" i="1"/>
  <c r="R14" i="1"/>
  <c r="R17" i="1"/>
  <c r="R37" i="1"/>
  <c r="Q14" i="1"/>
  <c r="Q17" i="1"/>
  <c r="Q37" i="1"/>
  <c r="N14" i="1"/>
  <c r="N17" i="1"/>
  <c r="N37" i="1"/>
  <c r="L14" i="1"/>
  <c r="L17" i="1"/>
  <c r="M14" i="1"/>
  <c r="M17" i="1"/>
  <c r="O17" i="1"/>
  <c r="I14" i="1"/>
  <c r="I17" i="1"/>
  <c r="F14" i="1"/>
  <c r="F17" i="1"/>
  <c r="E14" i="1"/>
  <c r="E17" i="1"/>
  <c r="B14" i="1"/>
  <c r="B17" i="1"/>
  <c r="S16" i="1"/>
  <c r="O16" i="1"/>
  <c r="K16" i="1"/>
  <c r="G16" i="1"/>
  <c r="T16" i="1"/>
  <c r="S15" i="1"/>
  <c r="O15" i="1"/>
  <c r="K15" i="1"/>
  <c r="G15" i="1"/>
  <c r="T15" i="1"/>
  <c r="P14" i="1"/>
  <c r="P17" i="1"/>
  <c r="M37" i="1"/>
  <c r="O14" i="1"/>
  <c r="J14" i="1"/>
  <c r="J17" i="1"/>
  <c r="H14" i="1"/>
  <c r="H17" i="1"/>
  <c r="D14" i="1"/>
  <c r="D17" i="1"/>
  <c r="G13" i="1"/>
  <c r="K13" i="1"/>
  <c r="O13" i="1"/>
  <c r="S13" i="1"/>
  <c r="T13" i="1"/>
  <c r="S12" i="1"/>
  <c r="O12" i="1"/>
  <c r="K12" i="1"/>
  <c r="G12" i="1"/>
  <c r="T12" i="1"/>
  <c r="G11" i="1"/>
  <c r="K11" i="1"/>
  <c r="O11" i="1"/>
  <c r="S11" i="1"/>
  <c r="T11" i="1"/>
  <c r="R10" i="1"/>
  <c r="Q10" i="1"/>
  <c r="P10" i="1"/>
  <c r="N10" i="1"/>
  <c r="M10" i="1"/>
  <c r="M38" i="1"/>
  <c r="M43" i="1"/>
  <c r="L10" i="1"/>
  <c r="J10" i="1"/>
  <c r="I10" i="1"/>
  <c r="H10" i="1"/>
  <c r="F10" i="1"/>
  <c r="E10" i="1"/>
  <c r="D10" i="1"/>
  <c r="G9" i="1"/>
  <c r="K9" i="1"/>
  <c r="O9" i="1"/>
  <c r="S9" i="1"/>
  <c r="T9" i="1"/>
  <c r="S8" i="1"/>
  <c r="O8" i="1"/>
  <c r="K8" i="1"/>
  <c r="G8" i="1"/>
  <c r="T8" i="1"/>
  <c r="G7" i="1"/>
  <c r="K7" i="1"/>
  <c r="O7" i="1"/>
  <c r="S7" i="1"/>
  <c r="T7" i="1"/>
  <c r="S6" i="1"/>
  <c r="O6" i="1"/>
  <c r="K6" i="1"/>
  <c r="G6" i="1"/>
  <c r="T6" i="1"/>
  <c r="G5" i="1"/>
  <c r="K5" i="1"/>
  <c r="O5" i="1"/>
  <c r="S5" i="1"/>
  <c r="T5" i="1"/>
  <c r="G2" i="1"/>
  <c r="G3" i="1"/>
  <c r="G4" i="1"/>
  <c r="G10" i="1"/>
  <c r="S4" i="1"/>
  <c r="O4" i="1"/>
  <c r="K4" i="1"/>
  <c r="K2" i="1"/>
  <c r="K3" i="1"/>
  <c r="K10" i="1"/>
  <c r="T4" i="1"/>
  <c r="O3" i="1"/>
  <c r="S3" i="1"/>
  <c r="T3" i="1"/>
  <c r="S2" i="1"/>
  <c r="S10" i="1"/>
  <c r="O2" i="1"/>
  <c r="O10" i="1"/>
  <c r="T2" i="1"/>
  <c r="U1" i="1"/>
  <c r="T1" i="1"/>
  <c r="S1" i="1"/>
  <c r="O1" i="1"/>
  <c r="K1" i="1"/>
  <c r="G1" i="1"/>
  <c r="D1" i="1"/>
  <c r="E1" i="1"/>
  <c r="F1" i="1"/>
  <c r="H1" i="1"/>
  <c r="I1" i="1"/>
  <c r="J1" i="1"/>
  <c r="L1" i="1"/>
  <c r="M1" i="1"/>
  <c r="N1" i="1"/>
  <c r="P1" i="1"/>
  <c r="Q1" i="1"/>
  <c r="R1" i="1"/>
  <c r="C1" i="1"/>
  <c r="B1" i="1"/>
  <c r="A1" i="1"/>
  <c r="C44" i="1"/>
  <c r="C34" i="1"/>
  <c r="C26" i="1"/>
  <c r="C18" i="1"/>
  <c r="C24" i="1"/>
  <c r="C22" i="1"/>
  <c r="C20" i="1"/>
  <c r="C32" i="1"/>
  <c r="C3" i="1"/>
  <c r="C28" i="1"/>
  <c r="C7" i="1"/>
  <c r="C16" i="1"/>
  <c r="C30" i="1"/>
  <c r="V22" i="1"/>
  <c r="V24" i="1"/>
  <c r="V18" i="1"/>
  <c r="V34" i="1"/>
  <c r="U24" i="1"/>
  <c r="L37" i="1"/>
  <c r="L38" i="1"/>
  <c r="J37" i="1"/>
  <c r="J38" i="1"/>
  <c r="J43" i="1"/>
  <c r="U18" i="1"/>
  <c r="H37" i="1"/>
  <c r="H38" i="1"/>
  <c r="U32" i="1"/>
  <c r="V32" i="1"/>
  <c r="U3" i="1"/>
  <c r="V3" i="1"/>
  <c r="U22" i="1"/>
  <c r="U34" i="1"/>
  <c r="U16" i="1"/>
  <c r="V16" i="1"/>
  <c r="T55" i="1"/>
  <c r="Q38" i="1"/>
  <c r="Q43" i="1"/>
  <c r="T21" i="1"/>
  <c r="U28" i="1"/>
  <c r="V28" i="1"/>
  <c r="R38" i="1"/>
  <c r="R43" i="1"/>
  <c r="S31" i="1"/>
  <c r="T36" i="1"/>
  <c r="D37" i="1"/>
  <c r="D38" i="1"/>
  <c r="G17" i="1"/>
  <c r="K17" i="1"/>
  <c r="S17" i="1"/>
  <c r="T17" i="1"/>
  <c r="U20" i="1"/>
  <c r="V20" i="1"/>
  <c r="P37" i="1"/>
  <c r="S37" i="1"/>
  <c r="N38" i="1"/>
  <c r="N43" i="1"/>
  <c r="E37" i="1"/>
  <c r="E38" i="1"/>
  <c r="E43" i="1"/>
  <c r="E44" i="1"/>
  <c r="F37" i="1"/>
  <c r="F38" i="1"/>
  <c r="F43" i="1"/>
  <c r="F44" i="1"/>
  <c r="G44" i="1"/>
  <c r="T10" i="1"/>
  <c r="U7" i="1"/>
  <c r="V7" i="1"/>
  <c r="I37" i="1"/>
  <c r="I38" i="1"/>
  <c r="I43" i="1"/>
  <c r="U26" i="1"/>
  <c r="V26" i="1"/>
  <c r="G31" i="1"/>
  <c r="T31" i="1"/>
  <c r="T30" i="1"/>
  <c r="T48" i="1"/>
  <c r="K14" i="1"/>
  <c r="G29" i="1"/>
  <c r="S29" i="1"/>
  <c r="T29" i="1"/>
  <c r="O37" i="1"/>
  <c r="G14" i="1"/>
  <c r="S14" i="1"/>
  <c r="T14" i="1"/>
  <c r="T56" i="1"/>
  <c r="C12" i="1"/>
  <c r="C11" i="1"/>
  <c r="C5" i="1"/>
  <c r="C49" i="1"/>
  <c r="C25" i="1"/>
  <c r="C9" i="1"/>
  <c r="C23" i="1"/>
  <c r="C13" i="1"/>
  <c r="C15" i="1"/>
  <c r="C35" i="1"/>
  <c r="C4" i="1"/>
  <c r="C8" i="1"/>
  <c r="C2" i="1"/>
  <c r="C19" i="1"/>
  <c r="C27" i="1"/>
  <c r="C33" i="1"/>
  <c r="C6" i="1"/>
  <c r="U6" i="1"/>
  <c r="V6" i="1"/>
  <c r="V33" i="1"/>
  <c r="U33" i="1"/>
  <c r="C36" i="1"/>
  <c r="V27" i="1"/>
  <c r="U27" i="1"/>
  <c r="U19" i="1"/>
  <c r="V19" i="1"/>
  <c r="C21" i="1"/>
  <c r="V2" i="1"/>
  <c r="C10" i="1"/>
  <c r="W11" i="1"/>
  <c r="U2" i="1"/>
  <c r="V8" i="1"/>
  <c r="U8" i="1"/>
  <c r="U4" i="1"/>
  <c r="V4" i="1"/>
  <c r="U35" i="1"/>
  <c r="V35" i="1"/>
  <c r="U15" i="1"/>
  <c r="V15" i="1"/>
  <c r="V13" i="1"/>
  <c r="U13" i="1"/>
  <c r="V23" i="1"/>
  <c r="C29" i="1"/>
  <c r="U23" i="1"/>
  <c r="U9" i="1"/>
  <c r="V9" i="1"/>
  <c r="V25" i="1"/>
  <c r="U25" i="1"/>
  <c r="U49" i="1"/>
  <c r="V49" i="1"/>
  <c r="V5" i="1"/>
  <c r="U5" i="1"/>
  <c r="V11" i="1"/>
  <c r="C14" i="1"/>
  <c r="U11" i="1"/>
  <c r="U12" i="1"/>
  <c r="V12" i="1"/>
  <c r="G38" i="1"/>
  <c r="D43" i="1"/>
  <c r="G43" i="1"/>
  <c r="H43" i="1"/>
  <c r="H44" i="1"/>
  <c r="I44" i="1"/>
  <c r="J44" i="1"/>
  <c r="K44" i="1"/>
  <c r="L43" i="1"/>
  <c r="L44" i="1"/>
  <c r="M44" i="1"/>
  <c r="N44" i="1"/>
  <c r="O44" i="1"/>
  <c r="K38" i="1"/>
  <c r="K43" i="1"/>
  <c r="U36" i="1"/>
  <c r="U30" i="1"/>
  <c r="V30" i="1"/>
  <c r="T62" i="1"/>
  <c r="O43" i="1"/>
  <c r="O38" i="1"/>
  <c r="T54" i="1"/>
  <c r="G37" i="1"/>
  <c r="K37" i="1"/>
  <c r="U29" i="1"/>
  <c r="U21" i="1"/>
  <c r="P38" i="1"/>
  <c r="T63" i="1"/>
  <c r="W19" i="1"/>
  <c r="T66" i="1"/>
  <c r="W26" i="1"/>
  <c r="T64" i="1"/>
  <c r="S38" i="1"/>
  <c r="P43" i="1"/>
  <c r="S43" i="1"/>
  <c r="W20" i="1"/>
  <c r="V21" i="1"/>
  <c r="C17" i="1"/>
  <c r="W17" i="1"/>
  <c r="V14" i="1"/>
  <c r="W33" i="1"/>
  <c r="W49" i="1"/>
  <c r="W7" i="1"/>
  <c r="W29" i="1"/>
  <c r="W36" i="1"/>
  <c r="W13" i="1"/>
  <c r="W4" i="1"/>
  <c r="W15" i="1"/>
  <c r="U14" i="1"/>
  <c r="T43" i="1"/>
  <c r="V36" i="1"/>
  <c r="W34" i="1"/>
  <c r="W5" i="1"/>
  <c r="W8" i="1"/>
  <c r="W12" i="1"/>
  <c r="W23" i="1"/>
  <c r="T38" i="1"/>
  <c r="W25" i="1"/>
  <c r="W30" i="1"/>
  <c r="W32" i="1"/>
  <c r="W9" i="1"/>
  <c r="W2" i="1"/>
  <c r="W10" i="1"/>
  <c r="W6" i="1"/>
  <c r="W16" i="1"/>
  <c r="W27" i="1"/>
  <c r="W24" i="1"/>
  <c r="W14" i="1"/>
  <c r="W18" i="1"/>
  <c r="W28" i="1"/>
  <c r="W31" i="1"/>
  <c r="T37" i="1"/>
  <c r="W22" i="1"/>
  <c r="W21" i="1"/>
  <c r="W3" i="1"/>
  <c r="W35" i="1"/>
  <c r="V29" i="1"/>
  <c r="C31" i="1"/>
  <c r="U10" i="1"/>
  <c r="V10" i="1"/>
  <c r="T71" i="1"/>
  <c r="T69" i="1"/>
  <c r="T70" i="1"/>
  <c r="T68" i="1"/>
  <c r="T67" i="1"/>
  <c r="C37" i="1"/>
  <c r="U37" i="1"/>
  <c r="U17" i="1"/>
  <c r="V17" i="1"/>
  <c r="T65" i="1"/>
  <c r="U31" i="1"/>
  <c r="V31" i="1"/>
  <c r="P44" i="1"/>
  <c r="Q44" i="1"/>
  <c r="R44" i="1"/>
  <c r="S44" i="1"/>
  <c r="T44" i="1"/>
  <c r="U44" i="1"/>
  <c r="V44" i="1"/>
  <c r="W44" i="1"/>
  <c r="W37" i="1"/>
  <c r="V37" i="1"/>
  <c r="C38" i="1"/>
  <c r="T72" i="1"/>
  <c r="W38" i="1"/>
  <c r="U38" i="1"/>
  <c r="V38" i="1"/>
</calcChain>
</file>

<file path=xl/comments1.xml><?xml version="1.0" encoding="utf-8"?>
<comments xmlns="http://schemas.openxmlformats.org/spreadsheetml/2006/main">
  <authors>
    <author>Michael Bayuk</author>
    <author>Mike Bayuk</author>
  </authors>
  <commentList>
    <comment ref="X1" authorId="0">
      <text>
        <r>
          <rPr>
            <sz val="10"/>
            <color rgb="FF000000"/>
            <rFont val="Tahoma"/>
            <family val="2"/>
          </rPr>
          <t>If the annual budget item increases or decreases 20% or more, or the budget item as a percentage of Operating Revenues increases or decreases 10% or more, the cell will be shaded yellow. At your option and to reduce the likelihood of receiving questions from PCSB on the fluctuation, please briefly enter an explanation for the fluctuation in the yellow cell.</t>
        </r>
      </text>
    </comment>
    <comment ref="A11" authorId="0">
      <text>
        <r>
          <rPr>
            <b/>
            <sz val="10"/>
            <color rgb="FF000000"/>
            <rFont val="Montserrat"/>
            <family val="2"/>
            <charset val="77"/>
          </rPr>
          <t xml:space="preserve">Instructional Staff:
</t>
        </r>
        <r>
          <rPr>
            <sz val="10"/>
            <color rgb="FF000000"/>
            <rFont val="Montserrat"/>
            <family val="2"/>
            <charset val="77"/>
          </rPr>
          <t xml:space="preserve">Salaries, wages, supplemental pay, and benefits associated with general or special education staff instructing students or supporting instruction.
</t>
        </r>
        <r>
          <rPr>
            <sz val="10"/>
            <color rgb="FF000000"/>
            <rFont val="Montserrat"/>
            <family val="2"/>
            <charset val="77"/>
          </rPr>
          <t xml:space="preserve">
</t>
        </r>
        <r>
          <rPr>
            <sz val="10"/>
            <color rgb="FF000000"/>
            <rFont val="Montserrat"/>
            <family val="2"/>
            <charset val="77"/>
          </rPr>
          <t>Staff vs. Instructional Supports: LEAs should include contracted staff within personnel categories (“Instructional Staff”, “Student Support Staff”, “School Administrators”) if they are paid wages and function as regular staff within the school/LEA. For example, a contract for paraprofessionals wherein contracted staff are paid wages through the contract and function as part of daily instructional operations should be included as “Instructional Staff”, and not as non-personnel expenditures in “Instructional Supports”. </t>
        </r>
      </text>
    </comment>
    <comment ref="A12" authorId="0">
      <text>
        <r>
          <rPr>
            <b/>
            <sz val="10"/>
            <color rgb="FF000000"/>
            <rFont val="Montserrat"/>
            <family val="2"/>
            <charset val="77"/>
          </rPr>
          <t xml:space="preserve">Student Supports Staff:
</t>
        </r>
        <r>
          <rPr>
            <sz val="10"/>
            <color rgb="FF000000"/>
            <rFont val="Montserrat"/>
            <family val="2"/>
            <charset val="77"/>
          </rPr>
          <t xml:space="preserve">Salaries, wages, supplemental pay, and benefits associated with positions providing schoolwide academic support services, social/emotional services, and extracurricular services.
</t>
        </r>
        <r>
          <rPr>
            <sz val="10"/>
            <color rgb="FF000000"/>
            <rFont val="Montserrat"/>
            <family val="2"/>
            <charset val="77"/>
          </rPr>
          <t xml:space="preserve">
</t>
        </r>
        <r>
          <rPr>
            <sz val="10"/>
            <color rgb="FF000000"/>
            <rFont val="Montserrat"/>
            <family val="2"/>
            <charset val="77"/>
          </rPr>
          <t>Staff vs. Instructional Supports: LEAs should include contracted staff within personnel categories (“Instructional Staff”, “Student Support Staff”, “School Administrators”) if they are paid wages and function as regular staff within the school/LEA. For example, a contract for paraprofessionals wherein contracted staff are paid wages through the contract and function as part of daily instructional operations should be included as “Instructional Staff”, and not as non-personnel expenditures in “Instructional Supports”. </t>
        </r>
      </text>
    </comment>
    <comment ref="A13" authorId="0">
      <text>
        <r>
          <rPr>
            <b/>
            <sz val="10"/>
            <color rgb="FF000000"/>
            <rFont val="Montserrat"/>
            <family val="2"/>
            <charset val="77"/>
          </rPr>
          <t xml:space="preserve">School Administrators:
</t>
        </r>
        <r>
          <rPr>
            <sz val="10"/>
            <color rgb="FF000000"/>
            <rFont val="Montserrat"/>
            <family val="2"/>
            <charset val="77"/>
          </rPr>
          <t xml:space="preserve">Salaries, wages, supplemental pay, and benefits associated with positions providing schoolwide administrative services and leadership.
</t>
        </r>
        <r>
          <rPr>
            <sz val="10"/>
            <color rgb="FF000000"/>
            <rFont val="Montserrat"/>
            <family val="2"/>
            <charset val="77"/>
          </rPr>
          <t xml:space="preserve">
</t>
        </r>
        <r>
          <rPr>
            <sz val="10"/>
            <color rgb="FF000000"/>
            <rFont val="Montserrat"/>
            <family val="2"/>
            <charset val="77"/>
          </rPr>
          <t>Staff vs. Instructional Supports: LEAs should include contracted staff within personnel categories (“Instructional Staff”, “Student Support Staff”, “School Administrators”) if they are paid wages and function as regular staff within the school/LEA. For example, a contract for paraprofessionals wherein contracted staff are paid wages through the contract and function as part of daily instructional operations should be included as “Instructional Staff”, and not as non-personnel expenditures in “Instructional Supports”. </t>
        </r>
      </text>
    </comment>
    <comment ref="A18" authorId="0">
      <text>
        <r>
          <rPr>
            <b/>
            <sz val="10"/>
            <color rgb="FF000000"/>
            <rFont val="Montserrat"/>
            <family val="2"/>
            <charset val="77"/>
          </rPr>
          <t xml:space="preserve">Instructional Supports:
</t>
        </r>
        <r>
          <rPr>
            <sz val="10"/>
            <color rgb="FF000000"/>
            <rFont val="Montserrat"/>
            <family val="2"/>
            <charset val="77"/>
          </rPr>
          <t xml:space="preserve">Contracted services, fees, and other miscellaneous expenditures associated with instruction, social/emotional, or extracurricular activities (excluding contracted staff positions paid salaries/wages).
</t>
        </r>
        <r>
          <rPr>
            <sz val="10"/>
            <color rgb="FF000000"/>
            <rFont val="Montserrat"/>
            <family val="2"/>
            <charset val="77"/>
          </rPr>
          <t xml:space="preserve">
</t>
        </r>
        <r>
          <rPr>
            <sz val="10"/>
            <color rgb="FF000000"/>
            <rFont val="Montserrat"/>
            <family val="2"/>
            <charset val="77"/>
          </rPr>
          <t xml:space="preserve">Staff vs. Instructional Supports: LEAs should include contracted staff within personnel categories (“Instructional Staff”, “Student Support Staff”, “School Administrators”) if they are paid wages and function as regular staff within the school/LEA. For example, a contract for paraprofessionals wherein contracted staff are paid wages through the contract and function as part of daily instructional operations should be included as “Instructional Staff”, and not as non-personnel expenditures in “Instructional Supports”. 
</t>
        </r>
        <r>
          <rPr>
            <sz val="10"/>
            <color rgb="FF000000"/>
            <rFont val="Montserrat"/>
            <family val="2"/>
            <charset val="77"/>
          </rPr>
          <t xml:space="preserve">
</t>
        </r>
        <r>
          <rPr>
            <sz val="10"/>
            <color rgb="FF000000"/>
            <rFont val="Montserrat"/>
            <family val="2"/>
            <charset val="77"/>
          </rPr>
          <t xml:space="preserve">The amount in column X must tie to sum of the corresponding CFRS budget item for all campus sites and central allocations.
</t>
        </r>
      </text>
    </comment>
    <comment ref="A19" authorId="0">
      <text>
        <r>
          <rPr>
            <b/>
            <sz val="10"/>
            <color rgb="FF000000"/>
            <rFont val="Montserrat"/>
            <family val="2"/>
            <charset val="77"/>
          </rPr>
          <t xml:space="preserve">Educational Materials:
</t>
        </r>
        <r>
          <rPr>
            <sz val="10"/>
            <color rgb="FF000000"/>
            <rFont val="Montserrat"/>
            <family val="2"/>
            <charset val="77"/>
          </rPr>
          <t>Educational materials associated with providing instruction and social/emotional learning, or extracurricular activities.</t>
        </r>
      </text>
    </comment>
    <comment ref="A20" authorId="0">
      <text>
        <r>
          <rPr>
            <b/>
            <sz val="10"/>
            <color rgb="FF000000"/>
            <rFont val="Montserrat"/>
            <family val="2"/>
            <charset val="77"/>
          </rPr>
          <t xml:space="preserve">Food Service:
</t>
        </r>
        <r>
          <rPr>
            <sz val="10"/>
            <color rgb="FF000000"/>
            <rFont val="Montserrat"/>
            <family val="2"/>
            <charset val="77"/>
          </rPr>
          <t xml:space="preserve">Personnel and non-personnel expenditures associated with providing nutritional services for students.
</t>
        </r>
        <r>
          <rPr>
            <sz val="10"/>
            <color rgb="FF000000"/>
            <rFont val="Montserrat"/>
            <family val="2"/>
            <charset val="77"/>
          </rPr>
          <t xml:space="preserve"> 
</t>
        </r>
        <r>
          <rPr>
            <sz val="10"/>
            <color rgb="FF000000"/>
            <rFont val="Montserrat"/>
            <family val="2"/>
            <charset val="77"/>
          </rPr>
          <t>Include FTEs in cell B14.</t>
        </r>
      </text>
    </comment>
    <comment ref="A24" authorId="1">
      <text>
        <r>
          <rPr>
            <b/>
            <sz val="10"/>
            <color rgb="FF000000"/>
            <rFont val="Tahoma"/>
            <family val="2"/>
          </rPr>
          <t>Leased Facilities:</t>
        </r>
        <r>
          <rPr>
            <sz val="10"/>
            <color rgb="FF000000"/>
            <rFont val="Tahoma"/>
            <family val="2"/>
          </rPr>
          <t xml:space="preserve">
</t>
        </r>
        <r>
          <rPr>
            <sz val="10"/>
            <color rgb="FF000000"/>
            <rFont val="Tahoma"/>
            <family val="2"/>
          </rPr>
          <t>Also includes right-of-use assets</t>
        </r>
      </text>
    </comment>
    <comment ref="A26" authorId="1">
      <text>
        <r>
          <rPr>
            <b/>
            <sz val="10"/>
            <color rgb="FF000000"/>
            <rFont val="Tahoma"/>
            <family val="2"/>
          </rPr>
          <t>Leased Facilities:</t>
        </r>
        <r>
          <rPr>
            <sz val="10"/>
            <color rgb="FF000000"/>
            <rFont val="Tahoma"/>
            <family val="2"/>
          </rPr>
          <t xml:space="preserve">
</t>
        </r>
        <r>
          <rPr>
            <sz val="10"/>
            <color rgb="FF000000"/>
            <rFont val="Tahoma"/>
            <family val="2"/>
          </rPr>
          <t>Also includes right-of-use assets</t>
        </r>
      </text>
    </comment>
    <comment ref="A27" authorId="0">
      <text>
        <r>
          <rPr>
            <sz val="10"/>
            <color rgb="FF000000"/>
            <rFont val="Montserrat"/>
            <family val="2"/>
            <charset val="77"/>
          </rPr>
          <t xml:space="preserve">Includes Building Maintenance and Repairs, Contracted Building Services, Property Insurance, and Other Occupancy Expenses for Owned Facilities
</t>
        </r>
      </text>
    </comment>
    <comment ref="A28" authorId="1">
      <text>
        <r>
          <rPr>
            <sz val="10"/>
            <color rgb="FF000000"/>
            <rFont val="Aptos Narrow"/>
            <family val="2"/>
            <scheme val="minor"/>
          </rPr>
          <t xml:space="preserve">Includes Building Maintenance and Repairs, Contracted Building Services, Property Insurance, and Other Occupancy Expenses for Leased Facilities. </t>
        </r>
        <r>
          <rPr>
            <sz val="10"/>
            <color rgb="FF000000"/>
            <rFont val="Tahoma"/>
            <family val="2"/>
          </rPr>
          <t>Also includes right-of-use assets.</t>
        </r>
      </text>
    </comment>
    <comment ref="A35" authorId="0">
      <text>
        <r>
          <rPr>
            <sz val="10"/>
            <color rgb="FF000000"/>
            <rFont val="Montserrat"/>
            <family val="2"/>
            <charset val="77"/>
          </rPr>
          <t xml:space="preserve">Includes Office Supplies and Materials, Office Equipment Rental and Maintenance, Telephone/Telecommunications, Legal, Accounting and Payroll Services, Insurance, Transportation, Professional Development, PCSB Administrative Fee, Other General Expense
</t>
        </r>
      </text>
    </comment>
    <comment ref="A40" authorId="0">
      <text>
        <r>
          <rPr>
            <sz val="10"/>
            <color rgb="FF000000"/>
            <rFont val="Tahoma"/>
            <family val="2"/>
          </rPr>
          <t>If cell is yellow-shaded because there is an amount entered in the corresponding cell in row 38, enter text description in row 39 for the applicable period(s)</t>
        </r>
      </text>
    </comment>
    <comment ref="A42" authorId="0">
      <text>
        <r>
          <rPr>
            <sz val="10"/>
            <color rgb="FF000000"/>
            <rFont val="Montserrat"/>
            <family val="2"/>
            <charset val="77"/>
          </rPr>
          <t xml:space="preserve">If cell is yellow-shaded because there is an amount entered in the corresponding cell in row 40, enter text description in row 41 for the applicable period(s)
</t>
        </r>
      </text>
    </comment>
    <comment ref="D44" authorId="0">
      <text>
        <r>
          <rPr>
            <sz val="9"/>
            <color indexed="81"/>
            <rFont val="Tahoma"/>
            <family val="2"/>
          </rPr>
          <t>C44 plus D43 less D44 (entered by you) equals the net difference between your budgeted ending FY 2024 and your beginning FY 2025 Net Assets included in your FY 2025 budget. The larger this net difference, the less accurate your FY 2024 budget was.</t>
        </r>
      </text>
    </comment>
    <comment ref="D49" authorId="0">
      <text>
        <r>
          <rPr>
            <sz val="9"/>
            <color indexed="81"/>
            <rFont val="Tahoma"/>
            <family val="2"/>
          </rPr>
          <t>C49 plus D48 less D49 (entered by you) equals the net difference between your budgeted ending FY 2024 and your beginning FY 2025 Cash, Cash Equivalents, and Restricted Cash included in your FY 2025 budget. The larger this net difference, the less accurate your FY 2024 budget was.</t>
        </r>
      </text>
    </comment>
    <comment ref="A53" authorId="0">
      <text>
        <r>
          <rPr>
            <sz val="10"/>
            <color rgb="FF000000"/>
            <rFont val="Tahoma"/>
            <family val="2"/>
          </rPr>
          <t xml:space="preserve">The number in cell T52 comes from the total grade-level enrollment in cell F20 of </t>
        </r>
        <r>
          <rPr>
            <b/>
            <i/>
            <sz val="10"/>
            <color rgb="FF00B050"/>
            <rFont val="Tahoma"/>
            <family val="2"/>
          </rPr>
          <t xml:space="preserve">2- LEA Bud  Enrollment </t>
        </r>
        <r>
          <rPr>
            <sz val="10"/>
            <color rgb="FF000000"/>
            <rFont val="Tahoma"/>
            <family val="2"/>
          </rPr>
          <t xml:space="preserve">, and must tie to the total grade-level enrollment in cell R38 of </t>
        </r>
        <r>
          <rPr>
            <b/>
            <i/>
            <sz val="10"/>
            <color rgb="FF00B050"/>
            <rFont val="Tahoma"/>
            <family val="2"/>
          </rPr>
          <t>3- CFRS Budget Next FY</t>
        </r>
        <r>
          <rPr>
            <sz val="10"/>
            <color rgb="FF000000"/>
            <rFont val="Tahoma"/>
            <family val="2"/>
          </rPr>
          <t xml:space="preserve"> which is the sum of each site's grade-level enrollment</t>
        </r>
      </text>
    </comment>
    <comment ref="T53" authorId="0">
      <text>
        <r>
          <rPr>
            <sz val="10"/>
            <color rgb="FF000000"/>
            <rFont val="Tahoma"/>
            <family val="2"/>
          </rPr>
          <t xml:space="preserve">This number comes from the total grade-level enrollment in cell F23 of </t>
        </r>
        <r>
          <rPr>
            <b/>
            <i/>
            <sz val="10"/>
            <color rgb="FF00B050"/>
            <rFont val="Tahoma"/>
            <family val="2"/>
          </rPr>
          <t xml:space="preserve">2- LEA Bud  Enrollment </t>
        </r>
        <r>
          <rPr>
            <sz val="10"/>
            <color rgb="FF000000"/>
            <rFont val="Tahoma"/>
            <family val="2"/>
          </rPr>
          <t xml:space="preserve"> and must tie to the total grade-level enrollment in cell R38 of </t>
        </r>
        <r>
          <rPr>
            <b/>
            <i/>
            <sz val="10"/>
            <color rgb="FF00B050"/>
            <rFont val="Tahoma"/>
            <family val="2"/>
          </rPr>
          <t>3- CFRS Budget Next FY</t>
        </r>
        <r>
          <rPr>
            <sz val="10"/>
            <color rgb="FF000000"/>
            <rFont val="Tahoma"/>
            <family val="2"/>
          </rPr>
          <t xml:space="preserve"> which is the sum of each site's grade-level enrollment</t>
        </r>
      </text>
    </comment>
    <comment ref="T57" authorId="0">
      <text>
        <r>
          <rPr>
            <sz val="10"/>
            <color rgb="FF000000"/>
            <rFont val="Montserrat"/>
            <family val="2"/>
            <charset val="77"/>
          </rPr>
          <t>Enter the estimated total Average Usable Square Footage for your Owned Facilities for the fiscal year, which is equal to the sum of the total usable square footage as of each month end of the fiscal year divided by 12</t>
        </r>
      </text>
    </comment>
    <comment ref="T58" authorId="0">
      <text>
        <r>
          <rPr>
            <sz val="10"/>
            <color rgb="FF000000"/>
            <rFont val="Montserrat"/>
            <family val="2"/>
            <charset val="77"/>
          </rPr>
          <t>Enter the estimated total Average Usable Square Footage for your Leased Facilities for the fiscal year, which is equal to the sum of the total usable square footage as of each month end of the fiscal year divided by 12</t>
        </r>
      </text>
    </comment>
  </commentList>
</comments>
</file>

<file path=xl/sharedStrings.xml><?xml version="1.0" encoding="utf-8"?>
<sst xmlns="http://schemas.openxmlformats.org/spreadsheetml/2006/main" count="165" uniqueCount="76">
  <si>
    <r>
      <t xml:space="preserve">Annual Budget % Increase </t>
    </r>
    <r>
      <rPr>
        <b/>
        <sz val="11"/>
        <color rgb="FFFF0000"/>
        <rFont val="Montserrat"/>
        <family val="3"/>
      </rPr>
      <t>(Decrease)</t>
    </r>
  </si>
  <si>
    <r>
      <t xml:space="preserve">Increase </t>
    </r>
    <r>
      <rPr>
        <b/>
        <sz val="11"/>
        <color rgb="FFFF0000"/>
        <rFont val="Montserrat"/>
        <family val="3"/>
      </rPr>
      <t>(Decrease)</t>
    </r>
    <r>
      <rPr>
        <b/>
        <sz val="11"/>
        <color theme="1"/>
        <rFont val="Montserrat"/>
        <family val="3"/>
      </rPr>
      <t xml:space="preserve"> in % Points of Operating Revenues</t>
    </r>
  </si>
  <si>
    <r>
      <t>Variance Explanations
(</t>
    </r>
    <r>
      <rPr>
        <b/>
        <sz val="11"/>
        <color rgb="FFFF0000"/>
        <rFont val="Montserrat"/>
        <family val="3"/>
      </rPr>
      <t>Required</t>
    </r>
    <r>
      <rPr>
        <b/>
        <sz val="11"/>
        <rFont val="Montserrat"/>
        <family val="3"/>
      </rPr>
      <t xml:space="preserve"> if Yellow Highlighted)</t>
    </r>
  </si>
  <si>
    <t>General Education, DC Funding Allocation</t>
  </si>
  <si>
    <t>-</t>
  </si>
  <si>
    <t>Categorical Enhancements, DC Funding Allocation</t>
  </si>
  <si>
    <t>Facilities Allowance, DC Funding Allocation</t>
  </si>
  <si>
    <t>Federal Entitlements and Other Federal Funds</t>
  </si>
  <si>
    <t>State and Local Government Contributions and Grants</t>
  </si>
  <si>
    <t>Private Contributions, Donations, and Grants</t>
  </si>
  <si>
    <t>Rental Income</t>
  </si>
  <si>
    <t>Other Income</t>
  </si>
  <si>
    <t>Operating Revenues</t>
  </si>
  <si>
    <t>Instructional Staff</t>
  </si>
  <si>
    <t>Student Supports Staff</t>
  </si>
  <si>
    <t>School Administrators</t>
  </si>
  <si>
    <t>Education Personnel Salaries and Benefits Subtotal</t>
  </si>
  <si>
    <t>Business/Operations Salaries and Benefits</t>
  </si>
  <si>
    <t>Administrative/Other Staff Salaries and Benefits</t>
  </si>
  <si>
    <t>Personnel Salaries and Benefits Subtotal</t>
  </si>
  <si>
    <t>Instructional Supports</t>
  </si>
  <si>
    <t>Educational Materials</t>
  </si>
  <si>
    <t>Food Service</t>
  </si>
  <si>
    <t>Direct Student Expenses Subtotal</t>
  </si>
  <si>
    <t>Rent Expense</t>
  </si>
  <si>
    <t>Depreciation, Owned Facilities</t>
  </si>
  <si>
    <t>Amortization, Leased Facilities</t>
  </si>
  <si>
    <t>Interest Expense, Owned Facilities</t>
  </si>
  <si>
    <t>Interest Expense, Leased Facilities</t>
  </si>
  <si>
    <t>Other Occupancy Expenses, Owned Facilities</t>
  </si>
  <si>
    <t>Other Occupancy Expenses, Leased Facilities</t>
  </si>
  <si>
    <t>Occupancy Expenses Subtotal, Owned Facilities</t>
  </si>
  <si>
    <t>Occupancy Expenses Subtotal, Leased Facilities</t>
  </si>
  <si>
    <t>Occupancy Expenses Subtotal</t>
  </si>
  <si>
    <t>Depreciation and Amortization, Non-Facility</t>
  </si>
  <si>
    <t>Interest Expense, Non-Facility</t>
  </si>
  <si>
    <t>Management Organization Fee</t>
  </si>
  <si>
    <t>Other General Expenses</t>
  </si>
  <si>
    <t>General Expenses Subtotal</t>
  </si>
  <si>
    <t>Operating Expenses</t>
  </si>
  <si>
    <t>Operating Income (Loss)</t>
  </si>
  <si>
    <t>Nonoperating Income (Loss)</t>
  </si>
  <si>
    <t>Description of Nonoperating Income (Loss)</t>
  </si>
  <si>
    <t>N/A</t>
  </si>
  <si>
    <t>Other Increases (Decreases) in Net Assets</t>
  </si>
  <si>
    <t>Description of Other Increases (Decreases) in Net Assets</t>
  </si>
  <si>
    <t>Change in Net Assets</t>
  </si>
  <si>
    <t>Net Assets</t>
  </si>
  <si>
    <t>Net Cash Provided by (Used In) Operating Activities</t>
  </si>
  <si>
    <t>Net Cash Provided by (Used In) Investing Activities</t>
  </si>
  <si>
    <t>Net Cash Provided by (Used In) Financing Activities</t>
  </si>
  <si>
    <t>Net Change in Cash, Cash Equivalents, and Restricted Cash</t>
  </si>
  <si>
    <t>Cash, Cash Equivalents, and Restricted Cash</t>
  </si>
  <si>
    <t>Restricted Cash and Cash Equivalents</t>
  </si>
  <si>
    <t>Noncurrent Restricted Cash and Cash Equivalents</t>
  </si>
  <si>
    <t>Investments</t>
  </si>
  <si>
    <t>Enrollment</t>
  </si>
  <si>
    <t>Per Pupil Education Personnel Salaries and Benefits</t>
  </si>
  <si>
    <t>Per Pupil Facilities Allowance</t>
  </si>
  <si>
    <t>Per Pupil Occupancy Expenses</t>
  </si>
  <si>
    <t>Average Usable Square Footage, Owned Facilities</t>
  </si>
  <si>
    <t>Average Usable Square Footage, Leased Facilities</t>
  </si>
  <si>
    <t>Average Usable Square Footage, Combined Facilities</t>
  </si>
  <si>
    <t>Average Usable Square Footage per Student</t>
  </si>
  <si>
    <t>Occupancy Expenses per Average Usable Square Foot, Owned Facilities</t>
  </si>
  <si>
    <t>Occupancy Expenses per Average Usable Square Foot, Leased Facilities</t>
  </si>
  <si>
    <t>Occupancy Expenses per Average Usable Square Foot, Combined Facilities</t>
  </si>
  <si>
    <t>Occupancy Expenses as % of Facilities Allowance</t>
  </si>
  <si>
    <t>Change in Net Assets Margin</t>
  </si>
  <si>
    <t>Cash Flow from Operations Margin</t>
  </si>
  <si>
    <t>Days of Cash on Hand</t>
  </si>
  <si>
    <t>Personnel Salaries and Benefits as % of Operating Expenses</t>
  </si>
  <si>
    <t>Direct Student Expenses as % of Operating Expenses</t>
  </si>
  <si>
    <t>Occupancy Expenses as % of Operating Expenses</t>
  </si>
  <si>
    <t>General Expenses as % of Operating Expenses</t>
  </si>
  <si>
    <t>Primary Reserve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</si>
</sst>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Red]_(&quot;$&quot;* \(#,##0\);_(&quot;$&quot;* &quot;-&quot;_);_(@_)"/>
    <numFmt numFmtId="165" formatCode="mmmm\ yyyy"/>
    <numFmt numFmtId="166" formatCode="_(* #,##0_);[Red]_(* \(#,##0\);_(* &quot;-&quot;_);_(@_)"/>
    <numFmt numFmtId="167" formatCode="_(&quot;$&quot;#,##0_);_(&quot;$&quot;\(#,##0\);_(&quot;-&quot;_);_(@_)"/>
    <numFmt numFmtId="168" formatCode="_(* #,##0%_);[Red]_(* \(#,##0%\);_(* &quot;-&quot;_);_(@_)"/>
    <numFmt numFmtId="169" formatCode="#,##0&quot; days&quot;"/>
    <numFmt numFmtId="170" formatCode="_(* #,##0.0_);[Red]_(* \(#,##0.0\);_(* &quot;-&quot;_);_(@_)"/>
  </numFmts>
  <fonts count="18" x14ac:knownFonts="1">
    <font>
      <sz val="11"/>
      <color theme="1"/>
      <name val="Aptos Narrow"/>
      <family val="2"/>
      <scheme val="minor"/>
    </font>
    <font>
      <sz val="11"/>
      <color theme="1"/>
      <name val="Montserrat"/>
      <family val="2"/>
    </font>
    <font>
      <b/>
      <sz val="16"/>
      <color theme="1"/>
      <name val="Montserrat"/>
      <family val="3"/>
    </font>
    <font>
      <b/>
      <sz val="11"/>
      <color theme="1"/>
      <name val="Montserrat"/>
      <family val="3"/>
    </font>
    <font>
      <b/>
      <sz val="11"/>
      <color theme="0"/>
      <name val="Montserrat"/>
      <family val="3"/>
    </font>
    <font>
      <b/>
      <sz val="11"/>
      <color rgb="FFFF0000"/>
      <name val="Montserrat"/>
      <family val="3"/>
    </font>
    <font>
      <b/>
      <sz val="11"/>
      <name val="Montserrat"/>
      <family val="3"/>
    </font>
    <font>
      <sz val="11"/>
      <name val="Montserrat"/>
      <family val="2"/>
    </font>
    <font>
      <sz val="11"/>
      <name val="Montserrat"/>
      <family val="3"/>
    </font>
    <font>
      <b/>
      <sz val="11"/>
      <color rgb="FF7030A0"/>
      <name val="Montserrat"/>
      <family val="3"/>
    </font>
    <font>
      <b/>
      <sz val="11"/>
      <color theme="5" tint="-0.499984740745262"/>
      <name val="Montserrat"/>
      <family val="3"/>
    </font>
    <font>
      <sz val="10"/>
      <color rgb="FF000000"/>
      <name val="Tahoma"/>
      <family val="2"/>
    </font>
    <font>
      <b/>
      <sz val="10"/>
      <color rgb="FF000000"/>
      <name val="Tahoma"/>
      <family val="2"/>
    </font>
    <font>
      <b/>
      <sz val="10"/>
      <color rgb="FF000000"/>
      <name val="Montserrat"/>
      <family val="2"/>
      <charset val="77"/>
    </font>
    <font>
      <sz val="10"/>
      <color rgb="FF000000"/>
      <name val="Montserrat"/>
      <family val="2"/>
      <charset val="77"/>
    </font>
    <font>
      <sz val="10"/>
      <color rgb="FF000000"/>
      <name val="Aptos Narrow"/>
      <family val="2"/>
      <scheme val="minor"/>
    </font>
    <font>
      <sz val="9"/>
      <color indexed="81"/>
      <name val="Tahoma"/>
      <family val="2"/>
    </font>
    <font>
      <b/>
      <i/>
      <sz val="10"/>
      <color rgb="FF00B050"/>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8" tint="-0.49998474074526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1"/>
        <bgColor indexed="64"/>
      </patternFill>
    </fill>
    <fill>
      <patternFill patternType="solid">
        <fgColor rgb="FFE4CAFF"/>
        <bgColor indexed="64"/>
      </patternFill>
    </fill>
    <fill>
      <patternFill patternType="solid">
        <fgColor theme="7" tint="0.79998168889431442"/>
        <bgColor indexed="64"/>
      </patternFill>
    </fill>
    <fill>
      <patternFill patternType="solid">
        <fgColor rgb="FFFFF2CC"/>
        <bgColor indexed="64"/>
      </patternFill>
    </fill>
  </fills>
  <borders count="8">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double">
        <color auto="1"/>
      </top>
      <bottom style="thin">
        <color auto="1"/>
      </bottom>
      <diagonal/>
    </border>
    <border>
      <left/>
      <right/>
      <top/>
      <bottom style="double">
        <color auto="1"/>
      </bottom>
      <diagonal/>
    </border>
    <border>
      <left/>
      <right/>
      <top style="double">
        <color auto="1"/>
      </top>
      <bottom style="double">
        <color auto="1"/>
      </bottom>
      <diagonal/>
    </border>
  </borders>
  <cellStyleXfs count="2">
    <xf numFmtId="0" fontId="0" fillId="0" borderId="0"/>
    <xf numFmtId="0" fontId="1" fillId="0" borderId="0"/>
  </cellStyleXfs>
  <cellXfs count="61">
    <xf numFmtId="0" fontId="0" fillId="0" borderId="0" xfId="0"/>
    <xf numFmtId="0" fontId="2" fillId="2" borderId="0" xfId="1" applyFont="1" applyFill="1" applyAlignment="1">
      <alignment horizontal="center" vertical="center" wrapText="1"/>
    </xf>
    <xf numFmtId="164" fontId="3" fillId="3" borderId="0" xfId="1" applyNumberFormat="1" applyFont="1" applyFill="1" applyAlignment="1">
      <alignment horizontal="center" vertical="top" wrapText="1"/>
    </xf>
    <xf numFmtId="164" fontId="4" fillId="4" borderId="0" xfId="1" applyNumberFormat="1" applyFont="1" applyFill="1" applyAlignment="1">
      <alignment horizontal="center" vertical="top" wrapText="1"/>
    </xf>
    <xf numFmtId="165" fontId="3" fillId="3" borderId="0" xfId="1" applyNumberFormat="1" applyFont="1" applyFill="1" applyAlignment="1">
      <alignment horizontal="center" vertical="top" wrapText="1"/>
    </xf>
    <xf numFmtId="164" fontId="4" fillId="5" borderId="0" xfId="1" applyNumberFormat="1" applyFont="1" applyFill="1" applyAlignment="1">
      <alignment horizontal="center" vertical="top" wrapText="1"/>
    </xf>
    <xf numFmtId="164" fontId="3" fillId="6" borderId="0" xfId="1" quotePrefix="1" applyNumberFormat="1" applyFont="1" applyFill="1" applyAlignment="1">
      <alignment horizontal="center" vertical="top" wrapText="1"/>
    </xf>
    <xf numFmtId="0" fontId="3" fillId="6" borderId="0" xfId="1" applyFont="1" applyFill="1" applyAlignment="1">
      <alignment horizontal="center" vertical="top" wrapText="1"/>
    </xf>
    <xf numFmtId="0" fontId="3" fillId="6" borderId="0" xfId="1" quotePrefix="1" applyFont="1" applyFill="1" applyAlignment="1">
      <alignment horizontal="center" vertical="top" wrapText="1"/>
    </xf>
    <xf numFmtId="0" fontId="6" fillId="6" borderId="0" xfId="1" quotePrefix="1" applyFont="1" applyFill="1" applyAlignment="1">
      <alignment horizontal="center" vertical="top" wrapText="1"/>
    </xf>
    <xf numFmtId="166" fontId="3" fillId="0" borderId="0" xfId="1" applyNumberFormat="1" applyFont="1" applyAlignment="1">
      <alignment horizontal="center" vertical="top" wrapText="1"/>
    </xf>
    <xf numFmtId="0" fontId="7" fillId="0" borderId="0" xfId="1" applyFont="1"/>
    <xf numFmtId="166" fontId="1" fillId="7" borderId="0" xfId="1" applyNumberFormat="1" applyFill="1" applyAlignment="1">
      <alignment horizontal="center"/>
    </xf>
    <xf numFmtId="167" fontId="8" fillId="8" borderId="0" xfId="1" applyNumberFormat="1" applyFont="1" applyFill="1"/>
    <xf numFmtId="167" fontId="8" fillId="9" borderId="0" xfId="1" applyNumberFormat="1" applyFont="1" applyFill="1" applyProtection="1">
      <protection locked="0"/>
    </xf>
    <xf numFmtId="167" fontId="9" fillId="8" borderId="0" xfId="1" applyNumberFormat="1" applyFont="1" applyFill="1"/>
    <xf numFmtId="168" fontId="9" fillId="8" borderId="0" xfId="1" applyNumberFormat="1" applyFont="1" applyFill="1"/>
    <xf numFmtId="0" fontId="1" fillId="0" borderId="0" xfId="1" applyAlignment="1" applyProtection="1">
      <alignment horizontal="left"/>
      <protection locked="0"/>
    </xf>
    <xf numFmtId="167" fontId="1" fillId="9" borderId="0" xfId="1" applyNumberFormat="1" applyFill="1" applyProtection="1">
      <protection locked="0"/>
    </xf>
    <xf numFmtId="166" fontId="1" fillId="0" borderId="0" xfId="1" applyNumberFormat="1"/>
    <xf numFmtId="0" fontId="8" fillId="0" borderId="0" xfId="1" applyFont="1"/>
    <xf numFmtId="0" fontId="1" fillId="0" borderId="0" xfId="1"/>
    <xf numFmtId="0" fontId="9" fillId="0" borderId="0" xfId="1" applyFont="1"/>
    <xf numFmtId="167" fontId="10" fillId="8" borderId="1" xfId="1" applyNumberFormat="1" applyFont="1" applyFill="1" applyBorder="1"/>
    <xf numFmtId="167" fontId="9" fillId="8" borderId="1" xfId="1" applyNumberFormat="1" applyFont="1" applyFill="1" applyBorder="1"/>
    <xf numFmtId="168" fontId="9" fillId="8" borderId="1" xfId="1" applyNumberFormat="1" applyFont="1" applyFill="1" applyBorder="1"/>
    <xf numFmtId="0" fontId="1" fillId="7" borderId="0" xfId="1" applyFill="1" applyAlignment="1">
      <alignment horizontal="left"/>
    </xf>
    <xf numFmtId="166" fontId="8" fillId="10" borderId="0" xfId="1" applyNumberFormat="1" applyFont="1" applyFill="1" applyProtection="1">
      <protection locked="0"/>
    </xf>
    <xf numFmtId="166" fontId="8" fillId="10" borderId="2" xfId="1" applyNumberFormat="1" applyFont="1" applyFill="1" applyBorder="1" applyProtection="1">
      <protection locked="0"/>
    </xf>
    <xf numFmtId="166" fontId="9" fillId="8" borderId="3" xfId="1" applyNumberFormat="1" applyFont="1" applyFill="1" applyBorder="1"/>
    <xf numFmtId="167" fontId="10" fillId="8" borderId="3" xfId="1" applyNumberFormat="1" applyFont="1" applyFill="1" applyBorder="1"/>
    <xf numFmtId="167" fontId="9" fillId="8" borderId="3" xfId="1" applyNumberFormat="1" applyFont="1" applyFill="1" applyBorder="1"/>
    <xf numFmtId="168" fontId="9" fillId="8" borderId="3" xfId="1" applyNumberFormat="1" applyFont="1" applyFill="1" applyBorder="1"/>
    <xf numFmtId="166" fontId="9" fillId="8" borderId="4" xfId="1" applyNumberFormat="1" applyFont="1" applyFill="1" applyBorder="1"/>
    <xf numFmtId="167" fontId="8" fillId="8" borderId="2" xfId="1" applyNumberFormat="1" applyFont="1" applyFill="1" applyBorder="1"/>
    <xf numFmtId="167" fontId="10" fillId="8" borderId="2" xfId="1" applyNumberFormat="1" applyFont="1" applyFill="1" applyBorder="1"/>
    <xf numFmtId="167" fontId="10" fillId="8" borderId="0" xfId="1" applyNumberFormat="1" applyFont="1" applyFill="1"/>
    <xf numFmtId="167" fontId="1" fillId="7" borderId="0" xfId="1" applyNumberFormat="1" applyFill="1" applyAlignment="1">
      <alignment horizontal="center"/>
    </xf>
    <xf numFmtId="167" fontId="8" fillId="7" borderId="0" xfId="1" applyNumberFormat="1" applyFont="1" applyFill="1"/>
    <xf numFmtId="167" fontId="1" fillId="8" borderId="0" xfId="1" applyNumberFormat="1" applyFill="1" applyAlignment="1">
      <alignment horizontal="center"/>
    </xf>
    <xf numFmtId="0" fontId="1" fillId="7" borderId="0" xfId="1" applyFill="1" applyAlignment="1">
      <alignment horizontal="center"/>
    </xf>
    <xf numFmtId="167" fontId="1" fillId="9" borderId="2" xfId="1" applyNumberFormat="1" applyFill="1" applyBorder="1" applyProtection="1">
      <protection locked="0"/>
    </xf>
    <xf numFmtId="167" fontId="1" fillId="8" borderId="2" xfId="1" applyNumberFormat="1" applyFill="1" applyBorder="1" applyAlignment="1">
      <alignment horizontal="center"/>
    </xf>
    <xf numFmtId="167" fontId="8" fillId="9" borderId="4" xfId="1" applyNumberFormat="1" applyFont="1" applyFill="1" applyBorder="1" applyProtection="1">
      <protection locked="0"/>
    </xf>
    <xf numFmtId="167" fontId="9" fillId="8" borderId="4" xfId="1" applyNumberFormat="1" applyFont="1" applyFill="1" applyBorder="1"/>
    <xf numFmtId="168" fontId="9" fillId="8" borderId="4" xfId="1" applyNumberFormat="1" applyFont="1" applyFill="1" applyBorder="1"/>
    <xf numFmtId="0" fontId="9" fillId="0" borderId="0" xfId="1" quotePrefix="1" applyFont="1" applyAlignment="1">
      <alignment horizontal="left"/>
    </xf>
    <xf numFmtId="0" fontId="1" fillId="7" borderId="0" xfId="1" applyFill="1" applyAlignment="1" applyProtection="1">
      <alignment horizontal="left"/>
      <protection locked="0"/>
    </xf>
    <xf numFmtId="0" fontId="8" fillId="0" borderId="0" xfId="1" quotePrefix="1" applyFont="1" applyAlignment="1">
      <alignment horizontal="left"/>
    </xf>
    <xf numFmtId="166" fontId="9" fillId="8" borderId="5" xfId="1" applyNumberFormat="1" applyFont="1" applyFill="1" applyBorder="1"/>
    <xf numFmtId="166" fontId="9" fillId="8" borderId="1" xfId="1" applyNumberFormat="1" applyFont="1" applyFill="1" applyBorder="1"/>
    <xf numFmtId="166" fontId="9" fillId="8" borderId="2" xfId="1" applyNumberFormat="1" applyFont="1" applyFill="1" applyBorder="1"/>
    <xf numFmtId="166" fontId="9" fillId="9" borderId="0" xfId="1" applyNumberFormat="1" applyFont="1" applyFill="1" applyProtection="1">
      <protection locked="0"/>
    </xf>
    <xf numFmtId="166" fontId="9" fillId="9" borderId="2" xfId="1" applyNumberFormat="1" applyFont="1" applyFill="1" applyBorder="1" applyProtection="1">
      <protection locked="0"/>
    </xf>
    <xf numFmtId="167" fontId="9" fillId="8" borderId="2" xfId="1" applyNumberFormat="1" applyFont="1" applyFill="1" applyBorder="1"/>
    <xf numFmtId="169" fontId="9" fillId="8" borderId="2" xfId="1" applyNumberFormat="1" applyFont="1" applyFill="1" applyBorder="1"/>
    <xf numFmtId="168" fontId="9" fillId="8" borderId="6" xfId="1" applyNumberFormat="1" applyFont="1" applyFill="1" applyBorder="1"/>
    <xf numFmtId="170" fontId="9" fillId="8" borderId="7" xfId="1" applyNumberFormat="1" applyFont="1" applyFill="1" applyBorder="1"/>
    <xf numFmtId="166" fontId="1" fillId="0" borderId="0" xfId="1" applyNumberFormat="1" applyAlignment="1">
      <alignment horizontal="center"/>
    </xf>
    <xf numFmtId="164" fontId="1" fillId="0" borderId="0" xfId="1" applyNumberFormat="1"/>
    <xf numFmtId="0" fontId="1" fillId="0" borderId="0" xfId="1" applyAlignment="1">
      <alignment horizontal="left"/>
    </xf>
  </cellXfs>
  <cellStyles count="2">
    <cellStyle name="Normal" xfId="0" builtinId="0"/>
    <cellStyle name="Normal 2" xfId="1"/>
  </cellStyles>
  <dxfs count="5">
    <dxf>
      <numFmt numFmtId="171" formatCode=";;;&quot;[ENTER EXPLANATION IN THIS CELL]&quot;"/>
      <fill>
        <patternFill>
          <bgColor rgb="FFFFFF00"/>
        </patternFill>
      </fill>
    </dxf>
    <dxf>
      <fill>
        <patternFill>
          <bgColor rgb="FFFF0000"/>
        </patternFill>
      </fill>
    </dxf>
    <dxf>
      <font>
        <b/>
        <i val="0"/>
        <color theme="0"/>
      </font>
      <fill>
        <patternFill>
          <bgColor rgb="FF00B0F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2984500</xdr:colOff>
      <xdr:row>0</xdr:row>
      <xdr:rowOff>660401</xdr:rowOff>
    </xdr:from>
    <xdr:ext cx="1663700" cy="264303"/>
    <xdr:sp macro="" textlink="">
      <xdr:nvSpPr>
        <xdr:cNvPr id="2" name="TextBox 1">
          <a:extLst>
            <a:ext uri="{FF2B5EF4-FFF2-40B4-BE49-F238E27FC236}">
              <a16:creationId xmlns:a16="http://schemas.microsoft.com/office/drawing/2014/main" xmlns="" id="{EF890133-F954-4126-98C7-9A0661EAEEB6}"/>
            </a:ext>
          </a:extLst>
        </xdr:cNvPr>
        <xdr:cNvSpPr txBox="1"/>
      </xdr:nvSpPr>
      <xdr:spPr>
        <a:xfrm>
          <a:off x="2984500" y="660401"/>
          <a:ext cx="1663700" cy="264303"/>
        </a:xfrm>
        <a:prstGeom prst="rect">
          <a:avLst/>
        </a:prstGeom>
        <a:solidFill>
          <a:srgbClr val="E4CAFF"/>
        </a:solidFill>
        <a:ln>
          <a:solidFill>
            <a:srgbClr val="7030A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7030A0"/>
              </a:solidFill>
              <a:latin typeface="Montserrat" pitchFamily="2" charset="77"/>
            </a:rPr>
            <a:t>Calculated Formula</a:t>
          </a:r>
        </a:p>
      </xdr:txBody>
    </xdr:sp>
    <xdr:clientData/>
  </xdr:oneCellAnchor>
  <xdr:twoCellAnchor>
    <xdr:from>
      <xdr:col>0</xdr:col>
      <xdr:colOff>5457825</xdr:colOff>
      <xdr:row>0</xdr:row>
      <xdr:rowOff>666750</xdr:rowOff>
    </xdr:from>
    <xdr:to>
      <xdr:col>0</xdr:col>
      <xdr:colOff>6410325</xdr:colOff>
      <xdr:row>0</xdr:row>
      <xdr:rowOff>923925</xdr:rowOff>
    </xdr:to>
    <xdr:sp macro="" textlink="">
      <xdr:nvSpPr>
        <xdr:cNvPr id="3" name="TextBox 2">
          <a:extLst>
            <a:ext uri="{FF2B5EF4-FFF2-40B4-BE49-F238E27FC236}">
              <a16:creationId xmlns:a16="http://schemas.microsoft.com/office/drawing/2014/main" xmlns="" id="{465032F1-5E72-4C11-A8C5-52BAB030D49F}"/>
            </a:ext>
          </a:extLst>
        </xdr:cNvPr>
        <xdr:cNvSpPr txBox="1"/>
      </xdr:nvSpPr>
      <xdr:spPr>
        <a:xfrm>
          <a:off x="5457825" y="666750"/>
          <a:ext cx="952500" cy="257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Montserrat" pitchFamily="2" charset="77"/>
            </a:rPr>
            <a:t>Not Used</a:t>
          </a:r>
        </a:p>
      </xdr:txBody>
    </xdr:sp>
    <xdr:clientData/>
  </xdr:twoCellAnchor>
  <xdr:oneCellAnchor>
    <xdr:from>
      <xdr:col>0</xdr:col>
      <xdr:colOff>1143000</xdr:colOff>
      <xdr:row>0</xdr:row>
      <xdr:rowOff>660401</xdr:rowOff>
    </xdr:from>
    <xdr:ext cx="1231900" cy="264303"/>
    <xdr:sp macro="" textlink="">
      <xdr:nvSpPr>
        <xdr:cNvPr id="4" name="TextBox 3">
          <a:extLst>
            <a:ext uri="{FF2B5EF4-FFF2-40B4-BE49-F238E27FC236}">
              <a16:creationId xmlns:a16="http://schemas.microsoft.com/office/drawing/2014/main" xmlns="" id="{D25D1C49-CEC1-4BC5-8800-4E1D7D32F593}"/>
            </a:ext>
          </a:extLst>
        </xdr:cNvPr>
        <xdr:cNvSpPr txBox="1"/>
      </xdr:nvSpPr>
      <xdr:spPr>
        <a:xfrm>
          <a:off x="1143000" y="660401"/>
          <a:ext cx="1231900" cy="264303"/>
        </a:xfrm>
        <a:prstGeom prst="rect">
          <a:avLst/>
        </a:prstGeom>
        <a:solidFill>
          <a:schemeClr val="accent4">
            <a:lumMod val="20000"/>
            <a:lumOff val="80000"/>
          </a:schemeClr>
        </a:solidFill>
        <a:ln>
          <a:solidFill>
            <a:srgbClr val="7030A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0">
              <a:solidFill>
                <a:sysClr val="windowText" lastClr="000000"/>
              </a:solidFill>
              <a:latin typeface="Montserrat" pitchFamily="2" charset="77"/>
            </a:rPr>
            <a:t>Enter Data</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CSB%20FY24%20budget%20for%20websi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ub Upload"/>
      <sheetName val="Explanations Support Hidden"/>
      <sheetName val="7- PCSB Budget Next FY"/>
      <sheetName val="6- CFRS to PCSB Mapping Table"/>
      <sheetName val="5- PCSB Reconciliation Next FY"/>
      <sheetName val="4- CFRS Budget Draft 2nd FY"/>
      <sheetName val="3- CFRS Budget Next FY"/>
      <sheetName val="2- LEA Bud Enrollment Next FY"/>
      <sheetName val="1- LEA Name, FY, Instructions"/>
      <sheetName val="LEA and Campus Lists"/>
      <sheetName val="PY Budget"/>
      <sheetName val="PY Budgets Exported Hidden"/>
    </sheetNames>
    <sheetDataSet>
      <sheetData sheetId="0"/>
      <sheetData sheetId="1">
        <row r="6">
          <cell r="A6" t="str">
            <v>General Education, DC Funding Allocation</v>
          </cell>
          <cell r="B6">
            <v>7305767</v>
          </cell>
          <cell r="C6">
            <v>8271389.953125</v>
          </cell>
          <cell r="D6">
            <v>965622.953125</v>
          </cell>
          <cell r="E6">
            <v>0.1321727004330962</v>
          </cell>
          <cell r="F6">
            <v>0.95</v>
          </cell>
          <cell r="G6">
            <v>0.1321727004330962</v>
          </cell>
          <cell r="H6">
            <v>0</v>
          </cell>
          <cell r="I6">
            <v>1</v>
          </cell>
          <cell r="J6">
            <v>0</v>
          </cell>
          <cell r="K6">
            <v>0</v>
          </cell>
        </row>
        <row r="7">
          <cell r="A7" t="str">
            <v>Categorical Enhancements, DC Funding Allocation</v>
          </cell>
          <cell r="B7">
            <v>3169815</v>
          </cell>
          <cell r="C7">
            <v>3618139.7006835938</v>
          </cell>
          <cell r="D7">
            <v>448324.70068359375</v>
          </cell>
          <cell r="E7">
            <v>0.14143560450171186</v>
          </cell>
          <cell r="F7">
            <v>0.9</v>
          </cell>
          <cell r="G7">
            <v>0.14143560450171186</v>
          </cell>
          <cell r="H7">
            <v>0</v>
          </cell>
          <cell r="I7">
            <v>1</v>
          </cell>
          <cell r="J7">
            <v>0</v>
          </cell>
          <cell r="K7">
            <v>0</v>
          </cell>
        </row>
        <row r="8">
          <cell r="A8" t="str">
            <v>Facilities Allowance, DC Funding Allocation</v>
          </cell>
          <cell r="B8">
            <v>1883390</v>
          </cell>
          <cell r="C8">
            <v>1941826.625</v>
          </cell>
          <cell r="D8">
            <v>58436.625</v>
          </cell>
          <cell r="E8">
            <v>3.1027362893505859E-2</v>
          </cell>
          <cell r="F8">
            <v>1</v>
          </cell>
          <cell r="G8">
            <v>3.1027362893505859E-2</v>
          </cell>
          <cell r="H8">
            <v>0</v>
          </cell>
          <cell r="I8">
            <v>0</v>
          </cell>
          <cell r="J8">
            <v>0</v>
          </cell>
          <cell r="K8">
            <v>0</v>
          </cell>
        </row>
        <row r="9">
          <cell r="A9" t="str">
            <v>Federal Entitlements and Other Federal Funds</v>
          </cell>
          <cell r="B9">
            <v>326799</v>
          </cell>
          <cell r="C9">
            <v>331932.74914550781</v>
          </cell>
          <cell r="D9">
            <v>5133.7491455078125</v>
          </cell>
          <cell r="E9">
            <v>1.5709194781831685E-2</v>
          </cell>
          <cell r="F9">
            <v>0.5</v>
          </cell>
          <cell r="G9">
            <v>1.5709194781831685E-2</v>
          </cell>
          <cell r="H9">
            <v>0</v>
          </cell>
          <cell r="I9">
            <v>0</v>
          </cell>
          <cell r="J9">
            <v>0</v>
          </cell>
          <cell r="K9">
            <v>0</v>
          </cell>
        </row>
        <row r="10">
          <cell r="A10" t="str">
            <v>State and Local Government Contributions and Grants</v>
          </cell>
          <cell r="B10">
            <v>5599</v>
          </cell>
          <cell r="C10">
            <v>12202.515625</v>
          </cell>
          <cell r="D10">
            <v>6603.515625</v>
          </cell>
          <cell r="E10">
            <v>1.1794098276477942</v>
          </cell>
          <cell r="F10">
            <v>0.5</v>
          </cell>
          <cell r="G10">
            <v>1.1794098276477942</v>
          </cell>
          <cell r="H10">
            <v>1</v>
          </cell>
          <cell r="I10">
            <v>0</v>
          </cell>
          <cell r="J10">
            <v>0</v>
          </cell>
          <cell r="K10">
            <v>0</v>
          </cell>
        </row>
        <row r="11">
          <cell r="A11" t="str">
            <v>Private Contributions, Donations, and Grants</v>
          </cell>
          <cell r="B11">
            <v>50000</v>
          </cell>
          <cell r="C11">
            <v>101049.99999999999</v>
          </cell>
          <cell r="D11">
            <v>51049.999999999985</v>
          </cell>
          <cell r="E11">
            <v>1.0209999999999997</v>
          </cell>
          <cell r="F11">
            <v>0</v>
          </cell>
          <cell r="G11">
            <v>1.0209999999999997</v>
          </cell>
          <cell r="H11">
            <v>1</v>
          </cell>
          <cell r="I11">
            <v>0</v>
          </cell>
          <cell r="J11">
            <v>0</v>
          </cell>
          <cell r="K11">
            <v>0</v>
          </cell>
        </row>
        <row r="12">
          <cell r="A12" t="str">
            <v>Rental Income</v>
          </cell>
          <cell r="B12">
            <v>0</v>
          </cell>
          <cell r="C12">
            <v>0</v>
          </cell>
          <cell r="D12">
            <v>0</v>
          </cell>
          <cell r="E12">
            <v>0</v>
          </cell>
          <cell r="F12">
            <v>0</v>
          </cell>
          <cell r="G12">
            <v>0</v>
          </cell>
          <cell r="H12">
            <v>0</v>
          </cell>
          <cell r="I12">
            <v>0</v>
          </cell>
          <cell r="J12">
            <v>0</v>
          </cell>
          <cell r="K12">
            <v>0</v>
          </cell>
        </row>
        <row r="13">
          <cell r="A13" t="str">
            <v>Other Income</v>
          </cell>
          <cell r="B13">
            <v>467661</v>
          </cell>
          <cell r="C13">
            <v>519132.71826171881</v>
          </cell>
          <cell r="D13">
            <v>51471.718261718808</v>
          </cell>
          <cell r="E13">
            <v>0.11006202839603646</v>
          </cell>
          <cell r="F13">
            <v>0.25</v>
          </cell>
          <cell r="G13">
            <v>0.11006202839603646</v>
          </cell>
          <cell r="H13">
            <v>0</v>
          </cell>
          <cell r="I13">
            <v>0</v>
          </cell>
          <cell r="J13">
            <v>0</v>
          </cell>
          <cell r="K13">
            <v>0</v>
          </cell>
        </row>
        <row r="14">
          <cell r="A14" t="str">
            <v>Instructional Staff</v>
          </cell>
          <cell r="B14">
            <v>6530355</v>
          </cell>
          <cell r="C14">
            <v>6998576.140293248</v>
          </cell>
          <cell r="D14">
            <v>468221.140293248</v>
          </cell>
          <cell r="E14">
            <v>7.1699186383167218E-2</v>
          </cell>
          <cell r="F14">
            <v>0.78</v>
          </cell>
          <cell r="G14">
            <v>7.1699186383167218E-2</v>
          </cell>
          <cell r="H14">
            <v>0</v>
          </cell>
          <cell r="I14">
            <v>1</v>
          </cell>
          <cell r="J14">
            <v>0</v>
          </cell>
          <cell r="K14">
            <v>0</v>
          </cell>
        </row>
        <row r="15">
          <cell r="A15" t="str">
            <v>Student Supports Staff</v>
          </cell>
          <cell r="B15">
            <v>1788175</v>
          </cell>
          <cell r="C15">
            <v>1737096.7772855423</v>
          </cell>
          <cell r="D15">
            <v>-51078.222714457661</v>
          </cell>
          <cell r="E15">
            <v>-2.8564442917755624E-2</v>
          </cell>
          <cell r="F15">
            <v>0.78</v>
          </cell>
          <cell r="G15">
            <v>-2.8564442917755624E-2</v>
          </cell>
          <cell r="H15">
            <v>0</v>
          </cell>
          <cell r="I15">
            <v>0</v>
          </cell>
          <cell r="J15">
            <v>0</v>
          </cell>
          <cell r="K15">
            <v>0</v>
          </cell>
        </row>
        <row r="16">
          <cell r="A16" t="str">
            <v>School Administrators</v>
          </cell>
          <cell r="B16">
            <v>402537</v>
          </cell>
          <cell r="C16">
            <v>420431.40930224955</v>
          </cell>
          <cell r="D16">
            <v>17894.409302249551</v>
          </cell>
          <cell r="E16">
            <v>4.4454073295745612E-2</v>
          </cell>
          <cell r="F16">
            <v>0.78</v>
          </cell>
          <cell r="G16">
            <v>4.4454073295745612E-2</v>
          </cell>
          <cell r="H16">
            <v>0</v>
          </cell>
          <cell r="I16">
            <v>0</v>
          </cell>
          <cell r="J16">
            <v>0</v>
          </cell>
          <cell r="K16">
            <v>0</v>
          </cell>
        </row>
        <row r="17">
          <cell r="A17" t="str">
            <v>Business/Operations Salaries and Benefits</v>
          </cell>
          <cell r="B17">
            <v>63639</v>
          </cell>
          <cell r="C17">
            <v>64876.564246147871</v>
          </cell>
          <cell r="D17">
            <v>1237.564246147871</v>
          </cell>
          <cell r="E17">
            <v>1.9446632507548373E-2</v>
          </cell>
          <cell r="F17">
            <v>0.5</v>
          </cell>
          <cell r="G17">
            <v>1.9446632507548373E-2</v>
          </cell>
          <cell r="H17">
            <v>0</v>
          </cell>
          <cell r="I17">
            <v>0</v>
          </cell>
          <cell r="J17">
            <v>0</v>
          </cell>
          <cell r="K17">
            <v>0</v>
          </cell>
        </row>
        <row r="18">
          <cell r="A18" t="str">
            <v>Administrative/Other Staff Salaries and Benefits</v>
          </cell>
          <cell r="B18">
            <v>1123032</v>
          </cell>
          <cell r="C18">
            <v>1290955.5128315371</v>
          </cell>
          <cell r="D18">
            <v>167923.51283153705</v>
          </cell>
          <cell r="E18">
            <v>0.14952691715956185</v>
          </cell>
          <cell r="F18">
            <v>0.5</v>
          </cell>
          <cell r="G18">
            <v>0.14952691715956185</v>
          </cell>
          <cell r="H18">
            <v>0</v>
          </cell>
          <cell r="I18">
            <v>0</v>
          </cell>
          <cell r="J18">
            <v>0</v>
          </cell>
          <cell r="K18">
            <v>0</v>
          </cell>
        </row>
        <row r="19">
          <cell r="A19" t="str">
            <v>Instructional Supports</v>
          </cell>
          <cell r="B19">
            <v>199194</v>
          </cell>
          <cell r="C19">
            <v>328103.56249999994</v>
          </cell>
          <cell r="D19">
            <v>128909.56249999994</v>
          </cell>
          <cell r="E19">
            <v>0.64715585057782832</v>
          </cell>
          <cell r="F19">
            <v>0.85</v>
          </cell>
          <cell r="G19">
            <v>0.64715585057782832</v>
          </cell>
          <cell r="H19">
            <v>1</v>
          </cell>
          <cell r="I19">
            <v>0</v>
          </cell>
          <cell r="J19">
            <v>0</v>
          </cell>
          <cell r="K19">
            <v>0</v>
          </cell>
        </row>
        <row r="20">
          <cell r="A20" t="str">
            <v>Educational Materials</v>
          </cell>
          <cell r="B20">
            <v>275000</v>
          </cell>
          <cell r="C20">
            <v>275600</v>
          </cell>
          <cell r="D20">
            <v>600</v>
          </cell>
          <cell r="E20">
            <v>2.1818181818181819E-3</v>
          </cell>
          <cell r="F20">
            <v>0.85</v>
          </cell>
          <cell r="G20">
            <v>2.1818181818181819E-3</v>
          </cell>
          <cell r="H20">
            <v>0</v>
          </cell>
          <cell r="I20">
            <v>0</v>
          </cell>
          <cell r="J20">
            <v>0</v>
          </cell>
          <cell r="K20">
            <v>0</v>
          </cell>
        </row>
        <row r="21">
          <cell r="A21" t="str">
            <v>Food Service</v>
          </cell>
          <cell r="B21">
            <v>215752</v>
          </cell>
          <cell r="C21">
            <v>218528.078125</v>
          </cell>
          <cell r="D21">
            <v>2776.078125</v>
          </cell>
          <cell r="E21">
            <v>1.2866986748674404E-2</v>
          </cell>
          <cell r="F21">
            <v>0.85</v>
          </cell>
          <cell r="G21">
            <v>1.2866986748674404E-2</v>
          </cell>
          <cell r="H21">
            <v>0</v>
          </cell>
          <cell r="I21">
            <v>0</v>
          </cell>
          <cell r="J21">
            <v>0</v>
          </cell>
          <cell r="K21">
            <v>0</v>
          </cell>
        </row>
        <row r="22">
          <cell r="A22" t="str">
            <v>Rent Expense</v>
          </cell>
          <cell r="B22">
            <v>0</v>
          </cell>
          <cell r="C22">
            <v>0</v>
          </cell>
          <cell r="D22">
            <v>0</v>
          </cell>
          <cell r="E22">
            <v>0</v>
          </cell>
          <cell r="F22">
            <v>0.3</v>
          </cell>
          <cell r="G22">
            <v>0</v>
          </cell>
          <cell r="H22">
            <v>0</v>
          </cell>
          <cell r="I22">
            <v>0</v>
          </cell>
          <cell r="J22">
            <v>0</v>
          </cell>
          <cell r="K22">
            <v>0</v>
          </cell>
        </row>
        <row r="23">
          <cell r="A23" t="str">
            <v>Depreciation, Owned Facilities</v>
          </cell>
          <cell r="B23">
            <v>0</v>
          </cell>
          <cell r="C23">
            <v>0</v>
          </cell>
          <cell r="D23">
            <v>0</v>
          </cell>
          <cell r="E23">
            <v>0</v>
          </cell>
          <cell r="F23">
            <v>0.18</v>
          </cell>
          <cell r="G23">
            <v>0</v>
          </cell>
          <cell r="H23">
            <v>0</v>
          </cell>
          <cell r="I23">
            <v>0</v>
          </cell>
          <cell r="J23">
            <v>0</v>
          </cell>
          <cell r="K23">
            <v>0</v>
          </cell>
        </row>
        <row r="24">
          <cell r="A24" t="str">
            <v>Amortization, Leased Facilities</v>
          </cell>
          <cell r="B24">
            <v>866858</v>
          </cell>
          <cell r="C24">
            <v>1042985.81640625</v>
          </cell>
          <cell r="D24">
            <v>176127.81640625</v>
          </cell>
          <cell r="E24">
            <v>0.20317954775320757</v>
          </cell>
          <cell r="F24">
            <v>0.18</v>
          </cell>
          <cell r="G24">
            <v>0.20317954775320757</v>
          </cell>
          <cell r="H24">
            <v>1</v>
          </cell>
          <cell r="I24">
            <v>0</v>
          </cell>
          <cell r="J24">
            <v>0</v>
          </cell>
          <cell r="K24">
            <v>0</v>
          </cell>
        </row>
        <row r="25">
          <cell r="A25" t="str">
            <v>Interest Expense, Owned Facilities</v>
          </cell>
          <cell r="B25">
            <v>0</v>
          </cell>
          <cell r="C25">
            <v>0</v>
          </cell>
          <cell r="D25">
            <v>0</v>
          </cell>
          <cell r="E25">
            <v>0</v>
          </cell>
          <cell r="F25">
            <v>0.18</v>
          </cell>
          <cell r="G25">
            <v>0</v>
          </cell>
          <cell r="H25">
            <v>0</v>
          </cell>
          <cell r="I25">
            <v>0</v>
          </cell>
          <cell r="J25">
            <v>0</v>
          </cell>
          <cell r="K25">
            <v>0</v>
          </cell>
        </row>
        <row r="26">
          <cell r="A26" t="str">
            <v>Interest Expense, Leased Facilities</v>
          </cell>
          <cell r="B26">
            <v>536703</v>
          </cell>
          <cell r="C26">
            <v>528146.5625</v>
          </cell>
          <cell r="D26">
            <v>-8556.4375</v>
          </cell>
          <cell r="E26">
            <v>-1.5942593016994501E-2</v>
          </cell>
          <cell r="F26">
            <v>0.18</v>
          </cell>
          <cell r="G26">
            <v>-1.5942593016994501E-2</v>
          </cell>
          <cell r="H26">
            <v>0</v>
          </cell>
          <cell r="I26">
            <v>0</v>
          </cell>
          <cell r="J26">
            <v>0</v>
          </cell>
          <cell r="K26">
            <v>0</v>
          </cell>
        </row>
        <row r="27">
          <cell r="A27" t="str">
            <v>Other Occupancy Expenses, Owned Facilities</v>
          </cell>
          <cell r="B27">
            <v>0</v>
          </cell>
          <cell r="C27">
            <v>0</v>
          </cell>
          <cell r="D27">
            <v>0</v>
          </cell>
          <cell r="E27">
            <v>0</v>
          </cell>
          <cell r="F27">
            <v>0.18</v>
          </cell>
          <cell r="G27">
            <v>0</v>
          </cell>
          <cell r="H27">
            <v>0</v>
          </cell>
          <cell r="I27">
            <v>0</v>
          </cell>
          <cell r="J27">
            <v>0</v>
          </cell>
          <cell r="K27">
            <v>0</v>
          </cell>
        </row>
        <row r="28">
          <cell r="A28" t="str">
            <v>Other Occupancy Expenses, Leased Facilities</v>
          </cell>
          <cell r="B28">
            <v>637386</v>
          </cell>
          <cell r="C28">
            <v>628476.00781249988</v>
          </cell>
          <cell r="D28">
            <v>-8909.9921875001164</v>
          </cell>
          <cell r="E28">
            <v>-1.3978958099958449E-2</v>
          </cell>
          <cell r="F28">
            <v>0.18</v>
          </cell>
          <cell r="G28">
            <v>-1.3978958099958449E-2</v>
          </cell>
          <cell r="H28">
            <v>0</v>
          </cell>
          <cell r="I28">
            <v>0</v>
          </cell>
          <cell r="J28">
            <v>0</v>
          </cell>
          <cell r="K28">
            <v>0</v>
          </cell>
        </row>
        <row r="29">
          <cell r="A29" t="str">
            <v>Depreciation and Amortization, Non-Facility</v>
          </cell>
          <cell r="B29">
            <v>99248</v>
          </cell>
          <cell r="C29">
            <v>99248.0859375</v>
          </cell>
          <cell r="D29">
            <v>8.59375E-2</v>
          </cell>
          <cell r="E29">
            <v>8.658864662260197E-7</v>
          </cell>
          <cell r="F29">
            <v>0.18</v>
          </cell>
          <cell r="G29">
            <v>8.658864662260197E-7</v>
          </cell>
          <cell r="H29">
            <v>0</v>
          </cell>
          <cell r="I29">
            <v>0</v>
          </cell>
          <cell r="J29">
            <v>0</v>
          </cell>
          <cell r="K29">
            <v>0</v>
          </cell>
        </row>
        <row r="30">
          <cell r="A30" t="str">
            <v>Interest Expense, Non-Facility</v>
          </cell>
          <cell r="B30">
            <v>0</v>
          </cell>
          <cell r="C30">
            <v>0</v>
          </cell>
          <cell r="D30">
            <v>0</v>
          </cell>
          <cell r="E30">
            <v>0</v>
          </cell>
          <cell r="F30">
            <v>0.18</v>
          </cell>
          <cell r="G30">
            <v>0</v>
          </cell>
          <cell r="H30">
            <v>0</v>
          </cell>
          <cell r="I30">
            <v>0</v>
          </cell>
          <cell r="J30">
            <v>0</v>
          </cell>
          <cell r="K30">
            <v>0</v>
          </cell>
        </row>
        <row r="31">
          <cell r="A31" t="str">
            <v>Management Organization Fee</v>
          </cell>
          <cell r="B31">
            <v>0</v>
          </cell>
          <cell r="C31">
            <v>0</v>
          </cell>
          <cell r="D31">
            <v>0</v>
          </cell>
          <cell r="E31">
            <v>0</v>
          </cell>
          <cell r="F31">
            <v>0.8</v>
          </cell>
          <cell r="G31">
            <v>0</v>
          </cell>
          <cell r="H31">
            <v>0</v>
          </cell>
          <cell r="I31">
            <v>0</v>
          </cell>
          <cell r="J31">
            <v>0</v>
          </cell>
          <cell r="K31">
            <v>0</v>
          </cell>
        </row>
        <row r="32">
          <cell r="A32" t="str">
            <v>Other General Expenses</v>
          </cell>
          <cell r="B32">
            <v>874235</v>
          </cell>
          <cell r="C32">
            <v>1013774.2117919921</v>
          </cell>
          <cell r="D32">
            <v>139539.21179199207</v>
          </cell>
          <cell r="E32">
            <v>0.15961293221158163</v>
          </cell>
          <cell r="F32">
            <v>0.34</v>
          </cell>
          <cell r="G32">
            <v>0.15961293221158163</v>
          </cell>
          <cell r="H32">
            <v>1</v>
          </cell>
          <cell r="I32">
            <v>0</v>
          </cell>
          <cell r="J32">
            <v>0</v>
          </cell>
          <cell r="K32">
            <v>0</v>
          </cell>
        </row>
      </sheetData>
      <sheetData sheetId="2"/>
      <sheetData sheetId="3"/>
      <sheetData sheetId="4"/>
      <sheetData sheetId="5"/>
      <sheetData sheetId="6"/>
      <sheetData sheetId="7">
        <row r="23">
          <cell r="B23">
            <v>520</v>
          </cell>
        </row>
      </sheetData>
      <sheetData sheetId="8">
        <row r="2">
          <cell r="A2">
            <v>2025</v>
          </cell>
          <cell r="C2" t="str">
            <v>Inspired Teaching Demonstration PCS</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3"/>
  <sheetViews>
    <sheetView tabSelected="1" workbookViewId="0">
      <selection sqref="A1:XFD1048576"/>
    </sheetView>
  </sheetViews>
  <sheetFormatPr baseColWidth="10" defaultColWidth="15.25" defaultRowHeight="15" outlineLevelCol="1" x14ac:dyDescent="0"/>
  <cols>
    <col min="1" max="1" width="97.25" style="21" bestFit="1" customWidth="1"/>
    <col min="2" max="2" width="15.25" style="58" outlineLevel="1"/>
    <col min="3" max="3" width="22" style="59" customWidth="1" outlineLevel="1" collapsed="1"/>
    <col min="4" max="6" width="22" style="59" hidden="1" customWidth="1" outlineLevel="1"/>
    <col min="7" max="7" width="22" style="59" customWidth="1" collapsed="1"/>
    <col min="8" max="10" width="22" style="59" hidden="1" customWidth="1" outlineLevel="1"/>
    <col min="11" max="11" width="22" style="59" customWidth="1" collapsed="1"/>
    <col min="12" max="14" width="22" style="59" hidden="1" customWidth="1" outlineLevel="1"/>
    <col min="15" max="15" width="22" style="59" customWidth="1" collapsed="1"/>
    <col min="16" max="18" width="22" style="59" hidden="1" customWidth="1" outlineLevel="1"/>
    <col min="19" max="19" width="22" style="59" customWidth="1" collapsed="1"/>
    <col min="20" max="20" width="22" style="59" customWidth="1"/>
    <col min="21" max="21" width="23.75" style="59" customWidth="1" outlineLevel="1"/>
    <col min="22" max="23" width="15.75" style="19" customWidth="1" outlineLevel="1"/>
    <col min="24" max="24" width="40.75" style="60" bestFit="1" customWidth="1" outlineLevel="1"/>
    <col min="25" max="16384" width="15.25" style="19"/>
  </cols>
  <sheetData>
    <row r="1" spans="1:24" s="10" customFormat="1" ht="88.5" customHeight="1">
      <c r="A1" s="1" t="str">
        <f>LEA_Name</f>
        <v>Inspired Teaching Demonstration PCS</v>
      </c>
      <c r="B1" s="2" t="str">
        <f>"Fiscal Year "&amp;TEXT(FiscalYear,"0000")&amp;" Average Number of 
Full-Time Employees"</f>
        <v>Fiscal Year 2025 Average Number of _x000D_Full-Time Employees</v>
      </c>
      <c r="C1" s="3" t="str">
        <f>"Fiscal Year "&amp;TEXT(FiscalYear-1,"0000")&amp;" Annual Budget from Hub"</f>
        <v>Fiscal Year 2024 Annual Budget from Hub</v>
      </c>
      <c r="D1" s="4">
        <f>DATE(FiscalYear-1,7,31)</f>
        <v>45504</v>
      </c>
      <c r="E1" s="4">
        <f>EOMONTH(D1,1)</f>
        <v>45535</v>
      </c>
      <c r="F1" s="4">
        <f>EOMONTH(E1,1)</f>
        <v>45565</v>
      </c>
      <c r="G1" s="5" t="str">
        <f>"Quarter 1
Fiscal Year "&amp;TEXT(FiscalYear,"0000")</f>
        <v>Quarter 1_x000D_Fiscal Year 2025</v>
      </c>
      <c r="H1" s="4">
        <f>EOMONTH(F1,1)</f>
        <v>45596</v>
      </c>
      <c r="I1" s="4">
        <f>EOMONTH(H1,1)</f>
        <v>45626</v>
      </c>
      <c r="J1" s="4">
        <f>EOMONTH(I1,1)</f>
        <v>45657</v>
      </c>
      <c r="K1" s="5" t="str">
        <f>"Quarter 2
Fiscal Year "&amp;TEXT(FiscalYear,"0000")</f>
        <v>Quarter 2_x000D_Fiscal Year 2025</v>
      </c>
      <c r="L1" s="4">
        <f>EOMONTH(J1,1)</f>
        <v>45688</v>
      </c>
      <c r="M1" s="4">
        <f>EOMONTH(L1,1)</f>
        <v>45716</v>
      </c>
      <c r="N1" s="4">
        <f>EOMONTH(M1,1)</f>
        <v>45747</v>
      </c>
      <c r="O1" s="5" t="str">
        <f>"Quarter 3
Fiscal Year "&amp;TEXT(FiscalYear,"0000")</f>
        <v>Quarter 3_x000D_Fiscal Year 2025</v>
      </c>
      <c r="P1" s="4">
        <f>EOMONTH(N1,1)</f>
        <v>45777</v>
      </c>
      <c r="Q1" s="4">
        <f>EOMONTH(P1,1)</f>
        <v>45808</v>
      </c>
      <c r="R1" s="4">
        <f>EOMONTH(Q1,1)</f>
        <v>45838</v>
      </c>
      <c r="S1" s="5" t="str">
        <f>"Quarter 4
Fiscal Year "&amp;TEXT(FiscalYear,"0000")</f>
        <v>Quarter 4_x000D_Fiscal Year 2025</v>
      </c>
      <c r="T1" s="5" t="str">
        <f>"Annual
Fiscal Year "&amp;TEXT(FiscalYear,"0000")</f>
        <v>Annual_x000D_Fiscal Year 2025</v>
      </c>
      <c r="U1" s="6" t="str">
        <f>"Annual Budget
Increase (Decrease)
from Fiscal Year "&amp;TEXT(FiscalYear-1,"0000")
&amp;" to Fiscal Year "&amp;TEXT(FiscalYear,"0000")</f>
        <v>Annual Budget_x000D_Increase (Decrease)_x000D_from Fiscal Year 2024 to Fiscal Year 2025</v>
      </c>
      <c r="V1" s="7" t="s">
        <v>0</v>
      </c>
      <c r="W1" s="8" t="s">
        <v>1</v>
      </c>
      <c r="X1" s="9" t="s">
        <v>2</v>
      </c>
    </row>
    <row r="2" spans="1:24">
      <c r="A2" s="11" t="s">
        <v>3</v>
      </c>
      <c r="B2" s="12">
        <v>0</v>
      </c>
      <c r="C2" s="13">
        <f t="shared" ref="C2:C9" si="0">IFERROR(GETPIVOTDATA("PY Budget",PY_Budget,"LEA",A$1,"Element",A2),0)</f>
        <v>0</v>
      </c>
      <c r="D2" s="14">
        <v>689282.49609375</v>
      </c>
      <c r="E2" s="14">
        <v>689282.49609375</v>
      </c>
      <c r="F2" s="14">
        <v>689282.49609375</v>
      </c>
      <c r="G2" s="15">
        <f t="shared" ref="G2:G9" si="1">SUM(D2:F2)</f>
        <v>2067847.48828125</v>
      </c>
      <c r="H2" s="14">
        <v>689282.49609375</v>
      </c>
      <c r="I2" s="14">
        <v>689282.49609375</v>
      </c>
      <c r="J2" s="14">
        <v>689282.49609375</v>
      </c>
      <c r="K2" s="15">
        <f t="shared" ref="K2:K9" si="2">SUM(H2:J2)</f>
        <v>2067847.48828125</v>
      </c>
      <c r="L2" s="14">
        <v>689282.49609375</v>
      </c>
      <c r="M2" s="14">
        <v>689282.49609375</v>
      </c>
      <c r="N2" s="14">
        <v>689282.49609375</v>
      </c>
      <c r="O2" s="15">
        <f t="shared" ref="O2:O9" si="3">SUM(L2:N2)</f>
        <v>2067847.48828125</v>
      </c>
      <c r="P2" s="14">
        <v>689282.49609375</v>
      </c>
      <c r="Q2" s="14">
        <v>689282.49609375</v>
      </c>
      <c r="R2" s="14">
        <v>689282.49609375</v>
      </c>
      <c r="S2" s="15">
        <f t="shared" ref="S2:S9" si="4">SUM(P2:R2)</f>
        <v>2067847.48828125</v>
      </c>
      <c r="T2" s="15">
        <f t="shared" ref="T2:T9" si="5">SUM(G2,K2,O2,S2)</f>
        <v>8271389.953125</v>
      </c>
      <c r="U2" s="15">
        <f t="shared" ref="U2:U9" si="6">T2-C2</f>
        <v>8271389.953125</v>
      </c>
      <c r="V2" s="16">
        <f t="shared" ref="V2:V38" si="7">IF(C2=0,0,U2/C2)</f>
        <v>0</v>
      </c>
      <c r="W2" s="16">
        <f t="shared" ref="W2:W38" si="8">IF(AND(T$10,C$10),T2/T$10-C2/C$10,0)</f>
        <v>0</v>
      </c>
      <c r="X2" s="17" t="s">
        <v>4</v>
      </c>
    </row>
    <row r="3" spans="1:24">
      <c r="A3" s="11" t="s">
        <v>5</v>
      </c>
      <c r="B3" s="12">
        <v>0</v>
      </c>
      <c r="C3" s="13">
        <f t="shared" si="0"/>
        <v>0</v>
      </c>
      <c r="D3" s="14">
        <v>352211.39982096356</v>
      </c>
      <c r="E3" s="14">
        <v>291371.69010416669</v>
      </c>
      <c r="F3" s="14">
        <v>352211.39982096356</v>
      </c>
      <c r="G3" s="15">
        <f t="shared" si="1"/>
        <v>995794.48974609375</v>
      </c>
      <c r="H3" s="14">
        <v>291371.69010416669</v>
      </c>
      <c r="I3" s="14">
        <v>291371.69010416669</v>
      </c>
      <c r="J3" s="14">
        <v>291371.69010416669</v>
      </c>
      <c r="K3" s="15">
        <f t="shared" si="2"/>
        <v>874115.0703125</v>
      </c>
      <c r="L3" s="14">
        <v>291371.69010416669</v>
      </c>
      <c r="M3" s="14">
        <v>291371.69010416669</v>
      </c>
      <c r="N3" s="14">
        <v>291371.69010416669</v>
      </c>
      <c r="O3" s="15">
        <f t="shared" si="3"/>
        <v>874115.0703125</v>
      </c>
      <c r="P3" s="14">
        <v>291371.69010416669</v>
      </c>
      <c r="Q3" s="14">
        <v>291371.69010416669</v>
      </c>
      <c r="R3" s="14">
        <v>291371.69010416669</v>
      </c>
      <c r="S3" s="15">
        <f t="shared" si="4"/>
        <v>874115.0703125</v>
      </c>
      <c r="T3" s="15">
        <f t="shared" si="5"/>
        <v>3618139.7006835938</v>
      </c>
      <c r="U3" s="15">
        <f t="shared" si="6"/>
        <v>3618139.7006835938</v>
      </c>
      <c r="V3" s="16">
        <f t="shared" si="7"/>
        <v>0</v>
      </c>
      <c r="W3" s="16">
        <f t="shared" si="8"/>
        <v>0</v>
      </c>
      <c r="X3" s="17" t="s">
        <v>4</v>
      </c>
    </row>
    <row r="4" spans="1:24">
      <c r="A4" s="11" t="s">
        <v>6</v>
      </c>
      <c r="B4" s="12">
        <v>0</v>
      </c>
      <c r="C4" s="13">
        <f t="shared" si="0"/>
        <v>0</v>
      </c>
      <c r="D4" s="14">
        <v>161818.88541666666</v>
      </c>
      <c r="E4" s="14">
        <v>161818.88541666666</v>
      </c>
      <c r="F4" s="14">
        <v>161818.88541666666</v>
      </c>
      <c r="G4" s="15">
        <f t="shared" si="1"/>
        <v>485456.65625</v>
      </c>
      <c r="H4" s="14">
        <v>161818.88541666666</v>
      </c>
      <c r="I4" s="14">
        <v>161818.88541666666</v>
      </c>
      <c r="J4" s="14">
        <v>161818.88541666666</v>
      </c>
      <c r="K4" s="15">
        <f t="shared" si="2"/>
        <v>485456.65625</v>
      </c>
      <c r="L4" s="14">
        <v>161818.88541666666</v>
      </c>
      <c r="M4" s="14">
        <v>161818.88541666666</v>
      </c>
      <c r="N4" s="14">
        <v>161818.88541666666</v>
      </c>
      <c r="O4" s="15">
        <f t="shared" si="3"/>
        <v>485456.65625</v>
      </c>
      <c r="P4" s="14">
        <v>161818.88541666666</v>
      </c>
      <c r="Q4" s="14">
        <v>161818.88541666666</v>
      </c>
      <c r="R4" s="14">
        <v>161818.88541666666</v>
      </c>
      <c r="S4" s="15">
        <f t="shared" si="4"/>
        <v>485456.65625</v>
      </c>
      <c r="T4" s="15">
        <f t="shared" si="5"/>
        <v>1941826.625</v>
      </c>
      <c r="U4" s="15">
        <f t="shared" si="6"/>
        <v>1941826.625</v>
      </c>
      <c r="V4" s="16">
        <f t="shared" si="7"/>
        <v>0</v>
      </c>
      <c r="W4" s="16">
        <f t="shared" si="8"/>
        <v>0</v>
      </c>
      <c r="X4" s="17" t="s">
        <v>4</v>
      </c>
    </row>
    <row r="5" spans="1:24">
      <c r="A5" s="11" t="s">
        <v>7</v>
      </c>
      <c r="B5" s="12">
        <v>0</v>
      </c>
      <c r="C5" s="13">
        <f t="shared" si="0"/>
        <v>0</v>
      </c>
      <c r="D5" s="14">
        <v>0</v>
      </c>
      <c r="E5" s="14">
        <v>5752.5329975328941</v>
      </c>
      <c r="F5" s="14">
        <v>11505.065995065788</v>
      </c>
      <c r="G5" s="15">
        <f t="shared" si="1"/>
        <v>17257.598992598683</v>
      </c>
      <c r="H5" s="14">
        <v>11505.065995065788</v>
      </c>
      <c r="I5" s="14">
        <v>11505.065995065788</v>
      </c>
      <c r="J5" s="14">
        <v>109826.35503829153</v>
      </c>
      <c r="K5" s="15">
        <f t="shared" si="2"/>
        <v>132836.48702842311</v>
      </c>
      <c r="L5" s="14">
        <v>31744.577103464228</v>
      </c>
      <c r="M5" s="14">
        <v>31744.577103464228</v>
      </c>
      <c r="N5" s="14">
        <v>28868.310604697777</v>
      </c>
      <c r="O5" s="15">
        <f t="shared" si="3"/>
        <v>92357.46481162624</v>
      </c>
      <c r="P5" s="14">
        <v>31744.577103464228</v>
      </c>
      <c r="Q5" s="14">
        <v>31744.577103464228</v>
      </c>
      <c r="R5" s="14">
        <v>25992.044105931331</v>
      </c>
      <c r="S5" s="15">
        <f t="shared" si="4"/>
        <v>89481.198312859779</v>
      </c>
      <c r="T5" s="15">
        <f t="shared" si="5"/>
        <v>331932.74914550781</v>
      </c>
      <c r="U5" s="15">
        <f t="shared" si="6"/>
        <v>331932.74914550781</v>
      </c>
      <c r="V5" s="16">
        <f t="shared" si="7"/>
        <v>0</v>
      </c>
      <c r="W5" s="16">
        <f t="shared" si="8"/>
        <v>0</v>
      </c>
      <c r="X5" s="17" t="s">
        <v>4</v>
      </c>
    </row>
    <row r="6" spans="1:24">
      <c r="A6" s="20" t="s">
        <v>8</v>
      </c>
      <c r="B6" s="12">
        <v>0</v>
      </c>
      <c r="C6" s="13">
        <f t="shared" si="0"/>
        <v>0</v>
      </c>
      <c r="D6" s="14">
        <v>0</v>
      </c>
      <c r="E6" s="14">
        <v>642.23766447368416</v>
      </c>
      <c r="F6" s="14">
        <v>1284.4753289473683</v>
      </c>
      <c r="G6" s="15">
        <f t="shared" si="1"/>
        <v>1926.7129934210525</v>
      </c>
      <c r="H6" s="14">
        <v>1284.4753289473683</v>
      </c>
      <c r="I6" s="14">
        <v>1284.4753289473683</v>
      </c>
      <c r="J6" s="14">
        <v>963.35649671052624</v>
      </c>
      <c r="K6" s="15">
        <f t="shared" si="2"/>
        <v>3532.3071546052629</v>
      </c>
      <c r="L6" s="14">
        <v>1284.4753289473683</v>
      </c>
      <c r="M6" s="14">
        <v>1284.4753289473683</v>
      </c>
      <c r="N6" s="14">
        <v>963.35649671052624</v>
      </c>
      <c r="O6" s="15">
        <f t="shared" si="3"/>
        <v>3532.3071546052629</v>
      </c>
      <c r="P6" s="14">
        <v>1284.4753289473683</v>
      </c>
      <c r="Q6" s="14">
        <v>1284.4753289473683</v>
      </c>
      <c r="R6" s="14">
        <v>642.23766447368416</v>
      </c>
      <c r="S6" s="15">
        <f t="shared" si="4"/>
        <v>3211.1883223684208</v>
      </c>
      <c r="T6" s="15">
        <f t="shared" si="5"/>
        <v>12202.515625</v>
      </c>
      <c r="U6" s="15">
        <f t="shared" si="6"/>
        <v>12202.515625</v>
      </c>
      <c r="V6" s="16">
        <f t="shared" si="7"/>
        <v>0</v>
      </c>
      <c r="W6" s="16">
        <f t="shared" si="8"/>
        <v>0</v>
      </c>
      <c r="X6" s="17" t="s">
        <v>4</v>
      </c>
    </row>
    <row r="7" spans="1:24">
      <c r="A7" s="20" t="s">
        <v>9</v>
      </c>
      <c r="B7" s="12">
        <v>0</v>
      </c>
      <c r="C7" s="13">
        <f t="shared" si="0"/>
        <v>0</v>
      </c>
      <c r="D7" s="14">
        <v>8420.8333333333321</v>
      </c>
      <c r="E7" s="14">
        <v>8420.8333333333321</v>
      </c>
      <c r="F7" s="14">
        <v>8420.8333333333321</v>
      </c>
      <c r="G7" s="15">
        <f t="shared" si="1"/>
        <v>25262.499999999996</v>
      </c>
      <c r="H7" s="14">
        <v>8420.8333333333321</v>
      </c>
      <c r="I7" s="14">
        <v>8420.8333333333321</v>
      </c>
      <c r="J7" s="14">
        <v>8420.8333333333321</v>
      </c>
      <c r="K7" s="15">
        <f t="shared" si="2"/>
        <v>25262.499999999996</v>
      </c>
      <c r="L7" s="14">
        <v>8420.8333333333321</v>
      </c>
      <c r="M7" s="14">
        <v>8420.8333333333321</v>
      </c>
      <c r="N7" s="14">
        <v>8420.8333333333321</v>
      </c>
      <c r="O7" s="15">
        <f t="shared" si="3"/>
        <v>25262.499999999996</v>
      </c>
      <c r="P7" s="14">
        <v>8420.8333333333321</v>
      </c>
      <c r="Q7" s="14">
        <v>8420.8333333333321</v>
      </c>
      <c r="R7" s="14">
        <v>8420.8333333333321</v>
      </c>
      <c r="S7" s="15">
        <f t="shared" si="4"/>
        <v>25262.499999999996</v>
      </c>
      <c r="T7" s="15">
        <f t="shared" si="5"/>
        <v>101049.99999999999</v>
      </c>
      <c r="U7" s="15">
        <f t="shared" si="6"/>
        <v>101049.99999999999</v>
      </c>
      <c r="V7" s="16">
        <f t="shared" si="7"/>
        <v>0</v>
      </c>
      <c r="W7" s="16">
        <f t="shared" si="8"/>
        <v>0</v>
      </c>
      <c r="X7" s="17" t="s">
        <v>4</v>
      </c>
    </row>
    <row r="8" spans="1:24">
      <c r="A8" s="20" t="s">
        <v>10</v>
      </c>
      <c r="B8" s="12">
        <v>0</v>
      </c>
      <c r="C8" s="13">
        <f t="shared" si="0"/>
        <v>0</v>
      </c>
      <c r="D8" s="14">
        <v>0</v>
      </c>
      <c r="E8" s="14">
        <v>0</v>
      </c>
      <c r="F8" s="14">
        <v>0</v>
      </c>
      <c r="G8" s="15">
        <f>SUM(D8:F8)</f>
        <v>0</v>
      </c>
      <c r="H8" s="14">
        <v>0</v>
      </c>
      <c r="I8" s="14">
        <v>0</v>
      </c>
      <c r="J8" s="14">
        <v>0</v>
      </c>
      <c r="K8" s="15">
        <f>SUM(H8:J8)</f>
        <v>0</v>
      </c>
      <c r="L8" s="14">
        <v>0</v>
      </c>
      <c r="M8" s="14">
        <v>0</v>
      </c>
      <c r="N8" s="14">
        <v>0</v>
      </c>
      <c r="O8" s="15">
        <f>SUM(L8:N8)</f>
        <v>0</v>
      </c>
      <c r="P8" s="14">
        <v>0</v>
      </c>
      <c r="Q8" s="14">
        <v>0</v>
      </c>
      <c r="R8" s="14">
        <v>0</v>
      </c>
      <c r="S8" s="15">
        <f>SUM(P8:R8)</f>
        <v>0</v>
      </c>
      <c r="T8" s="15">
        <f>SUM(G8,K8,O8,S8)</f>
        <v>0</v>
      </c>
      <c r="U8" s="15">
        <f>T8-C8</f>
        <v>0</v>
      </c>
      <c r="V8" s="16">
        <f>IF(C8=0,0,U8/C8)</f>
        <v>0</v>
      </c>
      <c r="W8" s="16">
        <f t="shared" si="8"/>
        <v>0</v>
      </c>
      <c r="X8" s="17" t="s">
        <v>4</v>
      </c>
    </row>
    <row r="9" spans="1:24">
      <c r="A9" s="21" t="s">
        <v>11</v>
      </c>
      <c r="B9" s="12">
        <v>0</v>
      </c>
      <c r="C9" s="13">
        <f t="shared" si="0"/>
        <v>0</v>
      </c>
      <c r="D9" s="14">
        <v>35581.956665039062</v>
      </c>
      <c r="E9" s="14">
        <v>38189.811311420643</v>
      </c>
      <c r="F9" s="14">
        <v>45242.110402246668</v>
      </c>
      <c r="G9" s="15">
        <f t="shared" si="1"/>
        <v>119013.87837870637</v>
      </c>
      <c r="H9" s="14">
        <v>45242.110402246668</v>
      </c>
      <c r="I9" s="14">
        <v>45242.110402246668</v>
      </c>
      <c r="J9" s="14">
        <v>43938.183079055874</v>
      </c>
      <c r="K9" s="15">
        <f t="shared" si="2"/>
        <v>134422.40388354921</v>
      </c>
      <c r="L9" s="14">
        <v>45242.110402246668</v>
      </c>
      <c r="M9" s="14">
        <v>45242.110402246668</v>
      </c>
      <c r="N9" s="14">
        <v>43938.183079055874</v>
      </c>
      <c r="O9" s="15">
        <f t="shared" si="3"/>
        <v>134422.40388354921</v>
      </c>
      <c r="P9" s="14">
        <v>45242.110402246668</v>
      </c>
      <c r="Q9" s="14">
        <v>45242.110402246668</v>
      </c>
      <c r="R9" s="14">
        <v>40789.811311420643</v>
      </c>
      <c r="S9" s="15">
        <f t="shared" si="4"/>
        <v>131274.03211591399</v>
      </c>
      <c r="T9" s="15">
        <f t="shared" si="5"/>
        <v>519132.71826171881</v>
      </c>
      <c r="U9" s="15">
        <f t="shared" si="6"/>
        <v>519132.71826171881</v>
      </c>
      <c r="V9" s="16">
        <f t="shared" si="7"/>
        <v>0</v>
      </c>
      <c r="W9" s="16">
        <f t="shared" si="8"/>
        <v>0</v>
      </c>
      <c r="X9" s="17" t="s">
        <v>4</v>
      </c>
    </row>
    <row r="10" spans="1:24">
      <c r="A10" s="22" t="s">
        <v>12</v>
      </c>
      <c r="B10" s="12">
        <v>0</v>
      </c>
      <c r="C10" s="23">
        <f t="shared" ref="C10:U10" si="9">SUM(C2:C9)</f>
        <v>0</v>
      </c>
      <c r="D10" s="24">
        <f t="shared" si="9"/>
        <v>1247315.5713297527</v>
      </c>
      <c r="E10" s="24">
        <f t="shared" si="9"/>
        <v>1195478.4869213442</v>
      </c>
      <c r="F10" s="24">
        <f t="shared" si="9"/>
        <v>1269765.2663909735</v>
      </c>
      <c r="G10" s="24">
        <f t="shared" si="9"/>
        <v>3712559.3246420701</v>
      </c>
      <c r="H10" s="24">
        <f t="shared" si="9"/>
        <v>1208925.5566741766</v>
      </c>
      <c r="I10" s="24">
        <f t="shared" si="9"/>
        <v>1208925.5566741766</v>
      </c>
      <c r="J10" s="24">
        <f t="shared" si="9"/>
        <v>1305621.7995619748</v>
      </c>
      <c r="K10" s="24">
        <f t="shared" si="9"/>
        <v>3723472.9129103278</v>
      </c>
      <c r="L10" s="24">
        <f t="shared" si="9"/>
        <v>1229165.067782575</v>
      </c>
      <c r="M10" s="24">
        <f t="shared" si="9"/>
        <v>1229165.067782575</v>
      </c>
      <c r="N10" s="24">
        <f t="shared" si="9"/>
        <v>1224663.7551283811</v>
      </c>
      <c r="O10" s="24">
        <f t="shared" si="9"/>
        <v>3682993.8906935309</v>
      </c>
      <c r="P10" s="24">
        <f t="shared" si="9"/>
        <v>1229165.067782575</v>
      </c>
      <c r="Q10" s="24">
        <f t="shared" si="9"/>
        <v>1229165.067782575</v>
      </c>
      <c r="R10" s="24">
        <f t="shared" si="9"/>
        <v>1218317.9980297426</v>
      </c>
      <c r="S10" s="24">
        <f t="shared" si="9"/>
        <v>3676648.1335948925</v>
      </c>
      <c r="T10" s="24">
        <f t="shared" si="9"/>
        <v>14795674.26184082</v>
      </c>
      <c r="U10" s="24">
        <f t="shared" si="9"/>
        <v>14795674.26184082</v>
      </c>
      <c r="V10" s="25">
        <f t="shared" si="7"/>
        <v>0</v>
      </c>
      <c r="W10" s="25">
        <f t="shared" si="8"/>
        <v>0</v>
      </c>
      <c r="X10" s="26" t="s">
        <v>4</v>
      </c>
    </row>
    <row r="11" spans="1:24" ht="30" customHeight="1">
      <c r="A11" s="20" t="s">
        <v>13</v>
      </c>
      <c r="B11" s="27">
        <v>82</v>
      </c>
      <c r="C11" s="13">
        <f>IFERROR(GETPIVOTDATA("PY Budget",PY_Budget,"LEA",A$1,"Element",A11),0)</f>
        <v>0</v>
      </c>
      <c r="D11" s="14">
        <v>0</v>
      </c>
      <c r="E11" s="14">
        <v>574252.86417894624</v>
      </c>
      <c r="F11" s="14">
        <v>586201.94975071214</v>
      </c>
      <c r="G11" s="15">
        <f t="shared" ref="G11:G39" si="10">SUM(D11:F11)</f>
        <v>1160454.8139296584</v>
      </c>
      <c r="H11" s="14">
        <v>586201.94975071214</v>
      </c>
      <c r="I11" s="14">
        <v>586201.94975071214</v>
      </c>
      <c r="J11" s="14">
        <v>586201.94975071214</v>
      </c>
      <c r="K11" s="15">
        <f t="shared" ref="K11:K39" si="11">SUM(H11:J11)</f>
        <v>1758605.8492521364</v>
      </c>
      <c r="L11" s="14">
        <v>586201.94975071214</v>
      </c>
      <c r="M11" s="14">
        <v>586201.94975071214</v>
      </c>
      <c r="N11" s="14">
        <v>586201.94975071214</v>
      </c>
      <c r="O11" s="15">
        <f t="shared" ref="O11:O39" si="12">SUM(L11:N11)</f>
        <v>1758605.8492521364</v>
      </c>
      <c r="P11" s="14">
        <v>586201.94975071214</v>
      </c>
      <c r="Q11" s="14">
        <v>586201.94975071214</v>
      </c>
      <c r="R11" s="14">
        <v>1148505.7283578925</v>
      </c>
      <c r="S11" s="15">
        <f t="shared" ref="S11:S39" si="13">SUM(P11:R11)</f>
        <v>2320909.6278593168</v>
      </c>
      <c r="T11" s="15">
        <f t="shared" ref="T11:T39" si="14">SUM(G11,K11,O11,S11)</f>
        <v>6998576.140293248</v>
      </c>
      <c r="U11" s="15">
        <f t="shared" ref="U11:U38" si="15">T11-C11</f>
        <v>6998576.140293248</v>
      </c>
      <c r="V11" s="16">
        <f t="shared" si="7"/>
        <v>0</v>
      </c>
      <c r="W11" s="16">
        <f t="shared" si="8"/>
        <v>0</v>
      </c>
      <c r="X11" s="17" t="s">
        <v>4</v>
      </c>
    </row>
    <row r="12" spans="1:24" ht="15" customHeight="1">
      <c r="A12" s="20" t="s">
        <v>14</v>
      </c>
      <c r="B12" s="27">
        <v>13</v>
      </c>
      <c r="C12" s="13">
        <f>IFERROR(GETPIVOTDATA("PY Budget",PY_Budget,"LEA",A$1,"Element",A12),0)</f>
        <v>0</v>
      </c>
      <c r="D12" s="14">
        <v>0</v>
      </c>
      <c r="E12" s="14">
        <v>96623.225178848952</v>
      </c>
      <c r="F12" s="14">
        <v>160803.01130544394</v>
      </c>
      <c r="G12" s="15">
        <f t="shared" si="10"/>
        <v>257426.23648429289</v>
      </c>
      <c r="H12" s="14">
        <v>160803.01130544394</v>
      </c>
      <c r="I12" s="14">
        <v>160803.01130544394</v>
      </c>
      <c r="J12" s="14">
        <v>160803.01130544394</v>
      </c>
      <c r="K12" s="15">
        <f t="shared" si="11"/>
        <v>482409.03391633183</v>
      </c>
      <c r="L12" s="14">
        <v>160803.01130544394</v>
      </c>
      <c r="M12" s="14">
        <v>160803.01130544394</v>
      </c>
      <c r="N12" s="14">
        <v>160803.01130544394</v>
      </c>
      <c r="O12" s="15">
        <f t="shared" si="12"/>
        <v>482409.03391633183</v>
      </c>
      <c r="P12" s="14">
        <v>160803.01130544394</v>
      </c>
      <c r="Q12" s="14">
        <v>160803.01130544394</v>
      </c>
      <c r="R12" s="14">
        <v>193246.4503576979</v>
      </c>
      <c r="S12" s="15">
        <f t="shared" si="13"/>
        <v>514852.47296858579</v>
      </c>
      <c r="T12" s="15">
        <f t="shared" si="14"/>
        <v>1737096.7772855423</v>
      </c>
      <c r="U12" s="15">
        <f t="shared" si="15"/>
        <v>1737096.7772855423</v>
      </c>
      <c r="V12" s="16">
        <f t="shared" si="7"/>
        <v>0</v>
      </c>
      <c r="W12" s="16">
        <f t="shared" si="8"/>
        <v>0</v>
      </c>
      <c r="X12" s="17" t="s">
        <v>4</v>
      </c>
    </row>
    <row r="13" spans="1:24" ht="15" customHeight="1">
      <c r="A13" s="20" t="s">
        <v>15</v>
      </c>
      <c r="B13" s="28">
        <v>3</v>
      </c>
      <c r="C13" s="13">
        <f>IFERROR(GETPIVOTDATA("PY Budget",PY_Budget,"LEA",A$1,"Element",A13),0)</f>
        <v>0</v>
      </c>
      <c r="D13" s="14">
        <v>35035.950775187463</v>
      </c>
      <c r="E13" s="14">
        <v>35035.950775187463</v>
      </c>
      <c r="F13" s="14">
        <v>35035.950775187463</v>
      </c>
      <c r="G13" s="15">
        <f t="shared" si="10"/>
        <v>105107.85232556239</v>
      </c>
      <c r="H13" s="14">
        <v>35035.950775187463</v>
      </c>
      <c r="I13" s="14">
        <v>35035.950775187463</v>
      </c>
      <c r="J13" s="14">
        <v>35035.950775187463</v>
      </c>
      <c r="K13" s="15">
        <f t="shared" si="11"/>
        <v>105107.85232556239</v>
      </c>
      <c r="L13" s="14">
        <v>35035.950775187463</v>
      </c>
      <c r="M13" s="14">
        <v>35035.950775187463</v>
      </c>
      <c r="N13" s="14">
        <v>35035.950775187463</v>
      </c>
      <c r="O13" s="15">
        <f t="shared" si="12"/>
        <v>105107.85232556239</v>
      </c>
      <c r="P13" s="14">
        <v>35035.950775187463</v>
      </c>
      <c r="Q13" s="14">
        <v>35035.950775187463</v>
      </c>
      <c r="R13" s="14">
        <v>35035.950775187463</v>
      </c>
      <c r="S13" s="15">
        <f t="shared" si="13"/>
        <v>105107.85232556239</v>
      </c>
      <c r="T13" s="15">
        <f t="shared" si="14"/>
        <v>420431.40930224955</v>
      </c>
      <c r="U13" s="15">
        <f t="shared" si="15"/>
        <v>420431.40930224955</v>
      </c>
      <c r="V13" s="16">
        <f t="shared" si="7"/>
        <v>0</v>
      </c>
      <c r="W13" s="16">
        <f t="shared" si="8"/>
        <v>0</v>
      </c>
      <c r="X13" s="17" t="s">
        <v>4</v>
      </c>
    </row>
    <row r="14" spans="1:24" ht="15" customHeight="1">
      <c r="A14" s="22" t="s">
        <v>16</v>
      </c>
      <c r="B14" s="29">
        <f>SUM(B11:B13)</f>
        <v>98</v>
      </c>
      <c r="C14" s="30">
        <f>SUM(C11:C13)</f>
        <v>0</v>
      </c>
      <c r="D14" s="31">
        <f>SUM(D11:D13)</f>
        <v>35035.950775187463</v>
      </c>
      <c r="E14" s="31">
        <f>SUM(E11:E13)</f>
        <v>705912.04013298266</v>
      </c>
      <c r="F14" s="31">
        <f>SUM(F11:F13)</f>
        <v>782040.91183134355</v>
      </c>
      <c r="G14" s="31">
        <f t="shared" si="10"/>
        <v>1522988.9027395137</v>
      </c>
      <c r="H14" s="31">
        <f>SUM(H11:H13)</f>
        <v>782040.91183134355</v>
      </c>
      <c r="I14" s="31">
        <f>SUM(I11:I13)</f>
        <v>782040.91183134355</v>
      </c>
      <c r="J14" s="31">
        <f>SUM(J11:J13)</f>
        <v>782040.91183134355</v>
      </c>
      <c r="K14" s="31">
        <f t="shared" si="11"/>
        <v>2346122.7354940306</v>
      </c>
      <c r="L14" s="31">
        <f>SUM(L11:L13)</f>
        <v>782040.91183134355</v>
      </c>
      <c r="M14" s="31">
        <f>SUM(M11:M13)</f>
        <v>782040.91183134355</v>
      </c>
      <c r="N14" s="31">
        <f>SUM(N11:N13)</f>
        <v>782040.91183134355</v>
      </c>
      <c r="O14" s="31">
        <f t="shared" si="12"/>
        <v>2346122.7354940306</v>
      </c>
      <c r="P14" s="31">
        <f>SUM(P11:P13)</f>
        <v>782040.91183134355</v>
      </c>
      <c r="Q14" s="31">
        <f>SUM(Q11:Q13)</f>
        <v>782040.91183134355</v>
      </c>
      <c r="R14" s="31">
        <f>SUM(R11:R13)</f>
        <v>1376788.1294907779</v>
      </c>
      <c r="S14" s="31">
        <f t="shared" si="13"/>
        <v>2940869.9531534649</v>
      </c>
      <c r="T14" s="31">
        <f t="shared" si="14"/>
        <v>9156104.3268810399</v>
      </c>
      <c r="U14" s="31">
        <f t="shared" si="15"/>
        <v>9156104.3268810399</v>
      </c>
      <c r="V14" s="32">
        <f t="shared" si="7"/>
        <v>0</v>
      </c>
      <c r="W14" s="32">
        <f t="shared" si="8"/>
        <v>0</v>
      </c>
      <c r="X14" s="26" t="s">
        <v>4</v>
      </c>
    </row>
    <row r="15" spans="1:24" ht="15" customHeight="1">
      <c r="A15" s="20" t="s">
        <v>17</v>
      </c>
      <c r="B15" s="27">
        <v>1</v>
      </c>
      <c r="C15" s="13">
        <f>IFERROR(GETPIVOTDATA("PY Budget",PY_Budget,"LEA",A$1,"Element",A15),0)</f>
        <v>0</v>
      </c>
      <c r="D15" s="14">
        <v>5406.3803538456559</v>
      </c>
      <c r="E15" s="14">
        <v>5406.3803538456559</v>
      </c>
      <c r="F15" s="14">
        <v>5406.3803538456559</v>
      </c>
      <c r="G15" s="15">
        <f t="shared" si="10"/>
        <v>16219.141061536968</v>
      </c>
      <c r="H15" s="14">
        <v>5406.3803538456559</v>
      </c>
      <c r="I15" s="14">
        <v>5406.3803538456559</v>
      </c>
      <c r="J15" s="14">
        <v>5406.3803538456559</v>
      </c>
      <c r="K15" s="15">
        <f t="shared" si="11"/>
        <v>16219.141061536968</v>
      </c>
      <c r="L15" s="14">
        <v>5406.3803538456559</v>
      </c>
      <c r="M15" s="14">
        <v>5406.3803538456559</v>
      </c>
      <c r="N15" s="14">
        <v>5406.3803538456559</v>
      </c>
      <c r="O15" s="15">
        <f t="shared" si="12"/>
        <v>16219.141061536968</v>
      </c>
      <c r="P15" s="14">
        <v>5406.3803538456559</v>
      </c>
      <c r="Q15" s="14">
        <v>5406.3803538456559</v>
      </c>
      <c r="R15" s="14">
        <v>5406.3803538456559</v>
      </c>
      <c r="S15" s="15">
        <f t="shared" si="13"/>
        <v>16219.141061536968</v>
      </c>
      <c r="T15" s="15">
        <f t="shared" si="14"/>
        <v>64876.564246147871</v>
      </c>
      <c r="U15" s="15">
        <f t="shared" si="15"/>
        <v>64876.564246147871</v>
      </c>
      <c r="V15" s="16">
        <f t="shared" si="7"/>
        <v>0</v>
      </c>
      <c r="W15" s="16">
        <f t="shared" si="8"/>
        <v>0</v>
      </c>
      <c r="X15" s="17" t="s">
        <v>4</v>
      </c>
    </row>
    <row r="16" spans="1:24" ht="15" customHeight="1">
      <c r="A16" s="20" t="s">
        <v>18</v>
      </c>
      <c r="B16" s="27">
        <v>12</v>
      </c>
      <c r="C16" s="13">
        <f>IFERROR(GETPIVOTDATA("PY Budget",PY_Budget,"LEA",A$1,"Element",A16),0)</f>
        <v>0</v>
      </c>
      <c r="D16" s="14">
        <v>107579.62606929475</v>
      </c>
      <c r="E16" s="14">
        <v>107579.62606929475</v>
      </c>
      <c r="F16" s="14">
        <v>107579.62606929475</v>
      </c>
      <c r="G16" s="15">
        <f t="shared" si="10"/>
        <v>322738.87820788426</v>
      </c>
      <c r="H16" s="14">
        <v>107579.62606929475</v>
      </c>
      <c r="I16" s="14">
        <v>107579.62606929475</v>
      </c>
      <c r="J16" s="14">
        <v>107579.62606929475</v>
      </c>
      <c r="K16" s="15">
        <f t="shared" si="11"/>
        <v>322738.87820788426</v>
      </c>
      <c r="L16" s="14">
        <v>107579.62606929475</v>
      </c>
      <c r="M16" s="14">
        <v>107579.62606929475</v>
      </c>
      <c r="N16" s="14">
        <v>107579.62606929475</v>
      </c>
      <c r="O16" s="15">
        <f t="shared" si="12"/>
        <v>322738.87820788426</v>
      </c>
      <c r="P16" s="14">
        <v>107579.62606929475</v>
      </c>
      <c r="Q16" s="14">
        <v>107579.62606929475</v>
      </c>
      <c r="R16" s="14">
        <v>107579.62606929475</v>
      </c>
      <c r="S16" s="15">
        <f t="shared" si="13"/>
        <v>322738.87820788426</v>
      </c>
      <c r="T16" s="15">
        <f t="shared" si="14"/>
        <v>1290955.5128315371</v>
      </c>
      <c r="U16" s="15">
        <f t="shared" si="15"/>
        <v>1290955.5128315371</v>
      </c>
      <c r="V16" s="16">
        <f t="shared" si="7"/>
        <v>0</v>
      </c>
      <c r="W16" s="16">
        <f t="shared" si="8"/>
        <v>0</v>
      </c>
      <c r="X16" s="17" t="s">
        <v>4</v>
      </c>
    </row>
    <row r="17" spans="1:24" ht="15" customHeight="1" thickBot="1">
      <c r="A17" s="22" t="s">
        <v>19</v>
      </c>
      <c r="B17" s="33">
        <f>SUM(B14:B16)</f>
        <v>111</v>
      </c>
      <c r="C17" s="23">
        <f>SUM(C14:C16)</f>
        <v>0</v>
      </c>
      <c r="D17" s="24">
        <f>SUM(D14:D16)</f>
        <v>148021.95719832787</v>
      </c>
      <c r="E17" s="24">
        <f>SUM(E14:E16)</f>
        <v>818898.04655612307</v>
      </c>
      <c r="F17" s="24">
        <f>SUM(F14:F16)</f>
        <v>895026.91825448396</v>
      </c>
      <c r="G17" s="24">
        <f t="shared" si="10"/>
        <v>1861946.9220089349</v>
      </c>
      <c r="H17" s="24">
        <f>SUM(H14:H16)</f>
        <v>895026.91825448396</v>
      </c>
      <c r="I17" s="24">
        <f>SUM(I14:I16)</f>
        <v>895026.91825448396</v>
      </c>
      <c r="J17" s="24">
        <f>SUM(J14:J16)</f>
        <v>895026.91825448396</v>
      </c>
      <c r="K17" s="24">
        <f t="shared" si="11"/>
        <v>2685080.7547634519</v>
      </c>
      <c r="L17" s="24">
        <f>SUM(L14:L16)</f>
        <v>895026.91825448396</v>
      </c>
      <c r="M17" s="24">
        <f>SUM(M14:M16)</f>
        <v>895026.91825448396</v>
      </c>
      <c r="N17" s="24">
        <f>SUM(N14:N16)</f>
        <v>895026.91825448396</v>
      </c>
      <c r="O17" s="24">
        <f t="shared" si="12"/>
        <v>2685080.7547634519</v>
      </c>
      <c r="P17" s="24">
        <f>SUM(P14:P16)</f>
        <v>895026.91825448396</v>
      </c>
      <c r="Q17" s="24">
        <f>SUM(Q14:Q16)</f>
        <v>895026.91825448396</v>
      </c>
      <c r="R17" s="24">
        <f>SUM(R14:R16)</f>
        <v>1489774.1359139183</v>
      </c>
      <c r="S17" s="24">
        <f t="shared" si="13"/>
        <v>3279827.9724228862</v>
      </c>
      <c r="T17" s="24">
        <f t="shared" si="14"/>
        <v>10511936.403958725</v>
      </c>
      <c r="U17" s="24">
        <f t="shared" si="15"/>
        <v>10511936.403958725</v>
      </c>
      <c r="V17" s="25">
        <f t="shared" si="7"/>
        <v>0</v>
      </c>
      <c r="W17" s="25">
        <f t="shared" si="8"/>
        <v>0</v>
      </c>
      <c r="X17" s="26" t="s">
        <v>4</v>
      </c>
    </row>
    <row r="18" spans="1:24" ht="30" customHeight="1" thickTop="1">
      <c r="A18" s="11" t="s">
        <v>20</v>
      </c>
      <c r="B18" s="12">
        <v>0</v>
      </c>
      <c r="C18" s="13">
        <f>IFERROR(GETPIVOTDATA("PY Budget",PY_Budget,"LEA",A$1,"Element",A18),0)</f>
        <v>0</v>
      </c>
      <c r="D18" s="14">
        <v>0</v>
      </c>
      <c r="E18" s="14">
        <v>0</v>
      </c>
      <c r="F18" s="14">
        <v>36455.951388888883</v>
      </c>
      <c r="G18" s="15">
        <f t="shared" si="10"/>
        <v>36455.951388888883</v>
      </c>
      <c r="H18" s="14">
        <v>36455.951388888883</v>
      </c>
      <c r="I18" s="14">
        <v>36455.951388888883</v>
      </c>
      <c r="J18" s="14">
        <v>36455.951388888883</v>
      </c>
      <c r="K18" s="15">
        <f t="shared" si="11"/>
        <v>109367.85416666666</v>
      </c>
      <c r="L18" s="14">
        <v>36455.951388888883</v>
      </c>
      <c r="M18" s="14">
        <v>36455.951388888883</v>
      </c>
      <c r="N18" s="14">
        <v>36455.951388888883</v>
      </c>
      <c r="O18" s="15">
        <f t="shared" si="12"/>
        <v>109367.85416666666</v>
      </c>
      <c r="P18" s="14">
        <v>36455.951388888883</v>
      </c>
      <c r="Q18" s="14">
        <v>36455.951388888883</v>
      </c>
      <c r="R18" s="14">
        <v>0</v>
      </c>
      <c r="S18" s="15">
        <f t="shared" si="13"/>
        <v>72911.902777777766</v>
      </c>
      <c r="T18" s="15">
        <f t="shared" si="14"/>
        <v>328103.56249999994</v>
      </c>
      <c r="U18" s="15">
        <f t="shared" si="15"/>
        <v>328103.56249999994</v>
      </c>
      <c r="V18" s="16">
        <f t="shared" si="7"/>
        <v>0</v>
      </c>
      <c r="W18" s="16">
        <f t="shared" si="8"/>
        <v>0</v>
      </c>
      <c r="X18" s="17" t="s">
        <v>4</v>
      </c>
    </row>
    <row r="19" spans="1:24" ht="15" customHeight="1">
      <c r="A19" s="11" t="s">
        <v>21</v>
      </c>
      <c r="B19" s="12">
        <v>0</v>
      </c>
      <c r="C19" s="13">
        <f>IFERROR(GETPIVOTDATA("PY Budget",PY_Budget,"LEA",A$1,"Element",A19),0)</f>
        <v>0</v>
      </c>
      <c r="D19" s="14">
        <v>13346.666666666666</v>
      </c>
      <c r="E19" s="14">
        <v>13346.666666666666</v>
      </c>
      <c r="F19" s="14">
        <v>26173.333333333332</v>
      </c>
      <c r="G19" s="15">
        <f t="shared" si="10"/>
        <v>52866.666666666664</v>
      </c>
      <c r="H19" s="14">
        <v>26173.333333333332</v>
      </c>
      <c r="I19" s="14">
        <v>26173.333333333332</v>
      </c>
      <c r="J19" s="14">
        <v>26173.333333333332</v>
      </c>
      <c r="K19" s="15">
        <f t="shared" si="11"/>
        <v>78520</v>
      </c>
      <c r="L19" s="14">
        <v>26173.333333333332</v>
      </c>
      <c r="M19" s="14">
        <v>26173.333333333332</v>
      </c>
      <c r="N19" s="14">
        <v>26173.333333333332</v>
      </c>
      <c r="O19" s="15">
        <f t="shared" si="12"/>
        <v>78520</v>
      </c>
      <c r="P19" s="14">
        <v>26173.333333333332</v>
      </c>
      <c r="Q19" s="14">
        <v>26173.333333333332</v>
      </c>
      <c r="R19" s="14">
        <v>13346.666666666666</v>
      </c>
      <c r="S19" s="15">
        <f t="shared" si="13"/>
        <v>65693.333333333328</v>
      </c>
      <c r="T19" s="15">
        <f t="shared" si="14"/>
        <v>275600</v>
      </c>
      <c r="U19" s="15">
        <f t="shared" si="15"/>
        <v>275600</v>
      </c>
      <c r="V19" s="16">
        <f t="shared" si="7"/>
        <v>0</v>
      </c>
      <c r="W19" s="16">
        <f t="shared" si="8"/>
        <v>0</v>
      </c>
      <c r="X19" s="17" t="s">
        <v>4</v>
      </c>
    </row>
    <row r="20" spans="1:24" ht="15" customHeight="1">
      <c r="A20" s="11" t="s">
        <v>22</v>
      </c>
      <c r="B20" s="12">
        <v>0</v>
      </c>
      <c r="C20" s="13">
        <f>IFERROR(GETPIVOTDATA("PY Budget",PY_Budget,"LEA",A$1,"Element",A20),0)</f>
        <v>0</v>
      </c>
      <c r="D20" s="14">
        <v>0</v>
      </c>
      <c r="E20" s="14">
        <v>11501.477796052632</v>
      </c>
      <c r="F20" s="14">
        <v>23002.955592105263</v>
      </c>
      <c r="G20" s="15">
        <f t="shared" si="10"/>
        <v>34504.433388157893</v>
      </c>
      <c r="H20" s="14">
        <v>23002.955592105263</v>
      </c>
      <c r="I20" s="14">
        <v>23002.955592105263</v>
      </c>
      <c r="J20" s="14">
        <v>17252.216694078947</v>
      </c>
      <c r="K20" s="15">
        <f t="shared" si="11"/>
        <v>63258.127878289473</v>
      </c>
      <c r="L20" s="14">
        <v>23002.955592105263</v>
      </c>
      <c r="M20" s="14">
        <v>23002.955592105263</v>
      </c>
      <c r="N20" s="14">
        <v>17252.216694078947</v>
      </c>
      <c r="O20" s="15">
        <f t="shared" si="12"/>
        <v>63258.127878289473</v>
      </c>
      <c r="P20" s="14">
        <v>23002.955592105263</v>
      </c>
      <c r="Q20" s="14">
        <v>23002.955592105263</v>
      </c>
      <c r="R20" s="14">
        <v>11501.477796052632</v>
      </c>
      <c r="S20" s="15">
        <f t="shared" si="13"/>
        <v>57507.38898026316</v>
      </c>
      <c r="T20" s="15">
        <f t="shared" si="14"/>
        <v>218528.078125</v>
      </c>
      <c r="U20" s="15">
        <f t="shared" si="15"/>
        <v>218528.078125</v>
      </c>
      <c r="V20" s="16">
        <f t="shared" si="7"/>
        <v>0</v>
      </c>
      <c r="W20" s="16">
        <f t="shared" si="8"/>
        <v>0</v>
      </c>
      <c r="X20" s="17" t="s">
        <v>4</v>
      </c>
    </row>
    <row r="21" spans="1:24" ht="15" customHeight="1">
      <c r="A21" s="22" t="s">
        <v>23</v>
      </c>
      <c r="B21" s="12">
        <v>0</v>
      </c>
      <c r="C21" s="23">
        <f>SUM(C18:C20)</f>
        <v>0</v>
      </c>
      <c r="D21" s="24">
        <f>SUM(D18:D20)</f>
        <v>13346.666666666666</v>
      </c>
      <c r="E21" s="24">
        <f>SUM(E18:E20)</f>
        <v>24848.144462719298</v>
      </c>
      <c r="F21" s="24">
        <f>SUM(F18:F20)</f>
        <v>85632.240314327486</v>
      </c>
      <c r="G21" s="24">
        <f t="shared" si="10"/>
        <v>123827.05144371346</v>
      </c>
      <c r="H21" s="24">
        <f>SUM(H18:H20)</f>
        <v>85632.240314327486</v>
      </c>
      <c r="I21" s="24">
        <f>SUM(I18:I20)</f>
        <v>85632.240314327486</v>
      </c>
      <c r="J21" s="24">
        <f>SUM(J18:J20)</f>
        <v>79881.501416301166</v>
      </c>
      <c r="K21" s="24">
        <f t="shared" si="11"/>
        <v>251145.98204495612</v>
      </c>
      <c r="L21" s="24">
        <f>SUM(L18:L20)</f>
        <v>85632.240314327486</v>
      </c>
      <c r="M21" s="24">
        <f>SUM(M18:M20)</f>
        <v>85632.240314327486</v>
      </c>
      <c r="N21" s="24">
        <f>SUM(N18:N20)</f>
        <v>79881.501416301166</v>
      </c>
      <c r="O21" s="24">
        <f t="shared" si="12"/>
        <v>251145.98204495612</v>
      </c>
      <c r="P21" s="24">
        <f>SUM(P18:P20)</f>
        <v>85632.240314327486</v>
      </c>
      <c r="Q21" s="24">
        <f>SUM(Q18:Q20)</f>
        <v>85632.240314327486</v>
      </c>
      <c r="R21" s="24">
        <f>SUM(R18:R20)</f>
        <v>24848.144462719298</v>
      </c>
      <c r="S21" s="24">
        <f t="shared" si="13"/>
        <v>196112.62509137427</v>
      </c>
      <c r="T21" s="24">
        <f t="shared" si="14"/>
        <v>822231.64062499988</v>
      </c>
      <c r="U21" s="24">
        <f t="shared" si="15"/>
        <v>822231.64062499988</v>
      </c>
      <c r="V21" s="25">
        <f t="shared" si="7"/>
        <v>0</v>
      </c>
      <c r="W21" s="25">
        <f t="shared" si="8"/>
        <v>0</v>
      </c>
      <c r="X21" s="26" t="s">
        <v>4</v>
      </c>
    </row>
    <row r="22" spans="1:24" ht="30" customHeight="1">
      <c r="A22" s="20" t="s">
        <v>24</v>
      </c>
      <c r="B22" s="12">
        <v>0</v>
      </c>
      <c r="C22" s="13">
        <f t="shared" ref="C22:C28" si="16">IFERROR(GETPIVOTDATA("PY Budget",PY_Budget,"LEA",A$1,"Element",A22),0)</f>
        <v>0</v>
      </c>
      <c r="D22" s="14">
        <v>0</v>
      </c>
      <c r="E22" s="14">
        <v>0</v>
      </c>
      <c r="F22" s="14">
        <v>0</v>
      </c>
      <c r="G22" s="15">
        <f t="shared" si="10"/>
        <v>0</v>
      </c>
      <c r="H22" s="14">
        <v>0</v>
      </c>
      <c r="I22" s="14">
        <v>0</v>
      </c>
      <c r="J22" s="14">
        <v>0</v>
      </c>
      <c r="K22" s="15">
        <f t="shared" si="11"/>
        <v>0</v>
      </c>
      <c r="L22" s="14">
        <v>0</v>
      </c>
      <c r="M22" s="14">
        <v>0</v>
      </c>
      <c r="N22" s="14">
        <v>0</v>
      </c>
      <c r="O22" s="15">
        <f t="shared" si="12"/>
        <v>0</v>
      </c>
      <c r="P22" s="14">
        <v>0</v>
      </c>
      <c r="Q22" s="14">
        <v>0</v>
      </c>
      <c r="R22" s="14">
        <v>0</v>
      </c>
      <c r="S22" s="15">
        <f t="shared" si="13"/>
        <v>0</v>
      </c>
      <c r="T22" s="15">
        <f t="shared" si="14"/>
        <v>0</v>
      </c>
      <c r="U22" s="15">
        <f t="shared" si="15"/>
        <v>0</v>
      </c>
      <c r="V22" s="16">
        <f t="shared" si="7"/>
        <v>0</v>
      </c>
      <c r="W22" s="16">
        <f t="shared" si="8"/>
        <v>0</v>
      </c>
      <c r="X22" s="17" t="s">
        <v>4</v>
      </c>
    </row>
    <row r="23" spans="1:24">
      <c r="A23" s="20" t="s">
        <v>25</v>
      </c>
      <c r="B23" s="12">
        <v>0</v>
      </c>
      <c r="C23" s="13">
        <f t="shared" si="16"/>
        <v>0</v>
      </c>
      <c r="D23" s="14">
        <v>0</v>
      </c>
      <c r="E23" s="14">
        <v>0</v>
      </c>
      <c r="F23" s="14">
        <v>0</v>
      </c>
      <c r="G23" s="15">
        <f t="shared" si="10"/>
        <v>0</v>
      </c>
      <c r="H23" s="14">
        <v>0</v>
      </c>
      <c r="I23" s="14">
        <v>0</v>
      </c>
      <c r="J23" s="14">
        <v>0</v>
      </c>
      <c r="K23" s="15">
        <f t="shared" si="11"/>
        <v>0</v>
      </c>
      <c r="L23" s="14">
        <v>0</v>
      </c>
      <c r="M23" s="14">
        <v>0</v>
      </c>
      <c r="N23" s="14">
        <v>0</v>
      </c>
      <c r="O23" s="15">
        <f t="shared" si="12"/>
        <v>0</v>
      </c>
      <c r="P23" s="14">
        <v>0</v>
      </c>
      <c r="Q23" s="14">
        <v>0</v>
      </c>
      <c r="R23" s="14">
        <v>0</v>
      </c>
      <c r="S23" s="15">
        <f t="shared" si="13"/>
        <v>0</v>
      </c>
      <c r="T23" s="15">
        <f t="shared" si="14"/>
        <v>0</v>
      </c>
      <c r="U23" s="15">
        <f t="shared" si="15"/>
        <v>0</v>
      </c>
      <c r="V23" s="16">
        <f t="shared" si="7"/>
        <v>0</v>
      </c>
      <c r="W23" s="16">
        <f t="shared" si="8"/>
        <v>0</v>
      </c>
      <c r="X23" s="17" t="s">
        <v>4</v>
      </c>
    </row>
    <row r="24" spans="1:24">
      <c r="A24" s="20" t="s">
        <v>26</v>
      </c>
      <c r="B24" s="12">
        <v>0</v>
      </c>
      <c r="C24" s="13">
        <f t="shared" si="16"/>
        <v>0</v>
      </c>
      <c r="D24" s="14">
        <v>86915.484700520828</v>
      </c>
      <c r="E24" s="14">
        <v>86915.484700520828</v>
      </c>
      <c r="F24" s="14">
        <v>86915.484700520828</v>
      </c>
      <c r="G24" s="15">
        <f t="shared" si="10"/>
        <v>260746.4541015625</v>
      </c>
      <c r="H24" s="14">
        <v>86915.484700520828</v>
      </c>
      <c r="I24" s="14">
        <v>86915.484700520828</v>
      </c>
      <c r="J24" s="14">
        <v>86915.484700520828</v>
      </c>
      <c r="K24" s="15">
        <f t="shared" si="11"/>
        <v>260746.4541015625</v>
      </c>
      <c r="L24" s="14">
        <v>86915.484700520828</v>
      </c>
      <c r="M24" s="14">
        <v>86915.484700520828</v>
      </c>
      <c r="N24" s="14">
        <v>86915.484700520828</v>
      </c>
      <c r="O24" s="15">
        <f t="shared" si="12"/>
        <v>260746.4541015625</v>
      </c>
      <c r="P24" s="14">
        <v>86915.484700520828</v>
      </c>
      <c r="Q24" s="14">
        <v>86915.484700520828</v>
      </c>
      <c r="R24" s="14">
        <v>86915.484700520828</v>
      </c>
      <c r="S24" s="15">
        <f t="shared" si="13"/>
        <v>260746.4541015625</v>
      </c>
      <c r="T24" s="15">
        <f t="shared" si="14"/>
        <v>1042985.81640625</v>
      </c>
      <c r="U24" s="15">
        <f t="shared" si="15"/>
        <v>1042985.81640625</v>
      </c>
      <c r="V24" s="16">
        <f t="shared" si="7"/>
        <v>0</v>
      </c>
      <c r="W24" s="16">
        <f t="shared" si="8"/>
        <v>0</v>
      </c>
      <c r="X24" s="17" t="s">
        <v>4</v>
      </c>
    </row>
    <row r="25" spans="1:24">
      <c r="A25" s="20" t="s">
        <v>27</v>
      </c>
      <c r="B25" s="12">
        <v>0</v>
      </c>
      <c r="C25" s="13">
        <f t="shared" si="16"/>
        <v>0</v>
      </c>
      <c r="D25" s="14">
        <v>0</v>
      </c>
      <c r="E25" s="14">
        <v>0</v>
      </c>
      <c r="F25" s="14">
        <v>0</v>
      </c>
      <c r="G25" s="15">
        <f t="shared" si="10"/>
        <v>0</v>
      </c>
      <c r="H25" s="14">
        <v>0</v>
      </c>
      <c r="I25" s="14">
        <v>0</v>
      </c>
      <c r="J25" s="14">
        <v>0</v>
      </c>
      <c r="K25" s="15">
        <f t="shared" si="11"/>
        <v>0</v>
      </c>
      <c r="L25" s="14">
        <v>0</v>
      </c>
      <c r="M25" s="14">
        <v>0</v>
      </c>
      <c r="N25" s="14">
        <v>0</v>
      </c>
      <c r="O25" s="15">
        <f t="shared" si="12"/>
        <v>0</v>
      </c>
      <c r="P25" s="14">
        <v>0</v>
      </c>
      <c r="Q25" s="14">
        <v>0</v>
      </c>
      <c r="R25" s="14">
        <v>0</v>
      </c>
      <c r="S25" s="15">
        <f t="shared" si="13"/>
        <v>0</v>
      </c>
      <c r="T25" s="15">
        <f t="shared" si="14"/>
        <v>0</v>
      </c>
      <c r="U25" s="15">
        <f t="shared" si="15"/>
        <v>0</v>
      </c>
      <c r="V25" s="16">
        <f t="shared" si="7"/>
        <v>0</v>
      </c>
      <c r="W25" s="16">
        <f t="shared" si="8"/>
        <v>0</v>
      </c>
      <c r="X25" s="17" t="s">
        <v>4</v>
      </c>
    </row>
    <row r="26" spans="1:24">
      <c r="A26" s="20" t="s">
        <v>28</v>
      </c>
      <c r="B26" s="12">
        <v>0</v>
      </c>
      <c r="C26" s="13">
        <f t="shared" si="16"/>
        <v>0</v>
      </c>
      <c r="D26" s="14">
        <v>264073.28125</v>
      </c>
      <c r="E26" s="14">
        <v>0</v>
      </c>
      <c r="F26" s="14">
        <v>0</v>
      </c>
      <c r="G26" s="15">
        <f t="shared" si="10"/>
        <v>264073.28125</v>
      </c>
      <c r="H26" s="14">
        <v>0</v>
      </c>
      <c r="I26" s="14">
        <v>0</v>
      </c>
      <c r="J26" s="14">
        <v>0</v>
      </c>
      <c r="K26" s="15">
        <f t="shared" si="11"/>
        <v>0</v>
      </c>
      <c r="L26" s="14">
        <v>264073.28125</v>
      </c>
      <c r="M26" s="14">
        <v>0</v>
      </c>
      <c r="N26" s="14">
        <v>0</v>
      </c>
      <c r="O26" s="15">
        <f t="shared" si="12"/>
        <v>264073.28125</v>
      </c>
      <c r="P26" s="14">
        <v>0</v>
      </c>
      <c r="Q26" s="14">
        <v>0</v>
      </c>
      <c r="R26" s="14">
        <v>0</v>
      </c>
      <c r="S26" s="15">
        <f t="shared" si="13"/>
        <v>0</v>
      </c>
      <c r="T26" s="15">
        <f t="shared" si="14"/>
        <v>528146.5625</v>
      </c>
      <c r="U26" s="15">
        <f t="shared" si="15"/>
        <v>528146.5625</v>
      </c>
      <c r="V26" s="16">
        <f t="shared" si="7"/>
        <v>0</v>
      </c>
      <c r="W26" s="16">
        <f t="shared" si="8"/>
        <v>0</v>
      </c>
      <c r="X26" s="17" t="s">
        <v>4</v>
      </c>
    </row>
    <row r="27" spans="1:24">
      <c r="A27" s="20" t="s">
        <v>29</v>
      </c>
      <c r="B27" s="12">
        <v>0</v>
      </c>
      <c r="C27" s="13">
        <f t="shared" si="16"/>
        <v>0</v>
      </c>
      <c r="D27" s="14">
        <v>0</v>
      </c>
      <c r="E27" s="14">
        <v>0</v>
      </c>
      <c r="F27" s="14">
        <v>0</v>
      </c>
      <c r="G27" s="15">
        <f t="shared" si="10"/>
        <v>0</v>
      </c>
      <c r="H27" s="14">
        <v>0</v>
      </c>
      <c r="I27" s="14">
        <v>0</v>
      </c>
      <c r="J27" s="14">
        <v>0</v>
      </c>
      <c r="K27" s="15">
        <f t="shared" si="11"/>
        <v>0</v>
      </c>
      <c r="L27" s="14">
        <v>0</v>
      </c>
      <c r="M27" s="14">
        <v>0</v>
      </c>
      <c r="N27" s="14">
        <v>0</v>
      </c>
      <c r="O27" s="15">
        <f t="shared" si="12"/>
        <v>0</v>
      </c>
      <c r="P27" s="14">
        <v>0</v>
      </c>
      <c r="Q27" s="14">
        <v>0</v>
      </c>
      <c r="R27" s="14">
        <v>0</v>
      </c>
      <c r="S27" s="15">
        <f t="shared" si="13"/>
        <v>0</v>
      </c>
      <c r="T27" s="15">
        <f t="shared" si="14"/>
        <v>0</v>
      </c>
      <c r="U27" s="15">
        <f t="shared" si="15"/>
        <v>0</v>
      </c>
      <c r="V27" s="16">
        <f t="shared" si="7"/>
        <v>0</v>
      </c>
      <c r="W27" s="16">
        <f t="shared" si="8"/>
        <v>0</v>
      </c>
      <c r="X27" s="17" t="s">
        <v>4</v>
      </c>
    </row>
    <row r="28" spans="1:24">
      <c r="A28" s="20" t="s">
        <v>30</v>
      </c>
      <c r="B28" s="12">
        <v>0</v>
      </c>
      <c r="C28" s="34">
        <f t="shared" si="16"/>
        <v>0</v>
      </c>
      <c r="D28" s="14">
        <v>52373.000651041657</v>
      </c>
      <c r="E28" s="14">
        <v>52373.000651041657</v>
      </c>
      <c r="F28" s="14">
        <v>52373.000651041657</v>
      </c>
      <c r="G28" s="15">
        <f t="shared" si="10"/>
        <v>157119.00195312497</v>
      </c>
      <c r="H28" s="14">
        <v>52373.000651041657</v>
      </c>
      <c r="I28" s="14">
        <v>52373.000651041657</v>
      </c>
      <c r="J28" s="14">
        <v>52373.000651041657</v>
      </c>
      <c r="K28" s="15">
        <f t="shared" si="11"/>
        <v>157119.00195312497</v>
      </c>
      <c r="L28" s="14">
        <v>52373.000651041657</v>
      </c>
      <c r="M28" s="14">
        <v>52373.000651041657</v>
      </c>
      <c r="N28" s="14">
        <v>52373.000651041657</v>
      </c>
      <c r="O28" s="15">
        <f t="shared" si="12"/>
        <v>157119.00195312497</v>
      </c>
      <c r="P28" s="14">
        <v>52373.000651041657</v>
      </c>
      <c r="Q28" s="14">
        <v>52373.000651041657</v>
      </c>
      <c r="R28" s="14">
        <v>52373.000651041657</v>
      </c>
      <c r="S28" s="15">
        <f t="shared" si="13"/>
        <v>157119.00195312497</v>
      </c>
      <c r="T28" s="15">
        <f t="shared" si="14"/>
        <v>628476.00781249988</v>
      </c>
      <c r="U28" s="15">
        <f t="shared" si="15"/>
        <v>628476.00781249988</v>
      </c>
      <c r="V28" s="16">
        <f t="shared" si="7"/>
        <v>0</v>
      </c>
      <c r="W28" s="16">
        <f t="shared" si="8"/>
        <v>0</v>
      </c>
      <c r="X28" s="17" t="s">
        <v>4</v>
      </c>
    </row>
    <row r="29" spans="1:24">
      <c r="A29" s="22" t="s">
        <v>31</v>
      </c>
      <c r="B29" s="12">
        <v>0</v>
      </c>
      <c r="C29" s="35">
        <f>SUM(C23,C25,C27)</f>
        <v>0</v>
      </c>
      <c r="D29" s="24">
        <f>SUM(D23,D25,D27)</f>
        <v>0</v>
      </c>
      <c r="E29" s="24">
        <f>SUM(E23,E25,E27)</f>
        <v>0</v>
      </c>
      <c r="F29" s="24">
        <f>SUM(F23,F25,F27)</f>
        <v>0</v>
      </c>
      <c r="G29" s="24">
        <f t="shared" si="10"/>
        <v>0</v>
      </c>
      <c r="H29" s="24">
        <f>SUM(H23,H25,H27)</f>
        <v>0</v>
      </c>
      <c r="I29" s="24">
        <f>SUM(I23,I25,I27)</f>
        <v>0</v>
      </c>
      <c r="J29" s="24">
        <f>SUM(J23,J25,J27)</f>
        <v>0</v>
      </c>
      <c r="K29" s="24">
        <f t="shared" si="11"/>
        <v>0</v>
      </c>
      <c r="L29" s="24">
        <f>SUM(L23,L25,L27)</f>
        <v>0</v>
      </c>
      <c r="M29" s="24">
        <f>SUM(M23,M25,M27)</f>
        <v>0</v>
      </c>
      <c r="N29" s="24">
        <f>SUM(N23,N25,N27)</f>
        <v>0</v>
      </c>
      <c r="O29" s="24">
        <f t="shared" si="12"/>
        <v>0</v>
      </c>
      <c r="P29" s="24">
        <f>SUM(P23,P25,P27)</f>
        <v>0</v>
      </c>
      <c r="Q29" s="24">
        <f>SUM(Q23,Q25,Q27)</f>
        <v>0</v>
      </c>
      <c r="R29" s="24">
        <f>SUM(R23,R25,R27)</f>
        <v>0</v>
      </c>
      <c r="S29" s="24">
        <f t="shared" si="13"/>
        <v>0</v>
      </c>
      <c r="T29" s="24">
        <f t="shared" si="14"/>
        <v>0</v>
      </c>
      <c r="U29" s="24">
        <f t="shared" si="15"/>
        <v>0</v>
      </c>
      <c r="V29" s="25">
        <f t="shared" si="7"/>
        <v>0</v>
      </c>
      <c r="W29" s="25">
        <f t="shared" si="8"/>
        <v>0</v>
      </c>
      <c r="X29" s="26" t="s">
        <v>4</v>
      </c>
    </row>
    <row r="30" spans="1:24">
      <c r="A30" s="22" t="s">
        <v>32</v>
      </c>
      <c r="B30" s="12">
        <v>0</v>
      </c>
      <c r="C30" s="23">
        <f>SUM(C22,C24,C26,C28)</f>
        <v>0</v>
      </c>
      <c r="D30" s="24">
        <f>SUM(D22,D24,D26,D28)</f>
        <v>403361.7666015625</v>
      </c>
      <c r="E30" s="24">
        <f>SUM(E22,E24,E26,E28)</f>
        <v>139288.4853515625</v>
      </c>
      <c r="F30" s="24">
        <f>SUM(F22,F24,F26,F28)</f>
        <v>139288.4853515625</v>
      </c>
      <c r="G30" s="24">
        <f t="shared" si="10"/>
        <v>681938.7373046875</v>
      </c>
      <c r="H30" s="24">
        <f>SUM(H22,H24,H26,H28)</f>
        <v>139288.4853515625</v>
      </c>
      <c r="I30" s="24">
        <f>SUM(I22,I24,I26,I28)</f>
        <v>139288.4853515625</v>
      </c>
      <c r="J30" s="24">
        <f>SUM(J22,J24,J26,J28)</f>
        <v>139288.4853515625</v>
      </c>
      <c r="K30" s="24">
        <f t="shared" si="11"/>
        <v>417865.4560546875</v>
      </c>
      <c r="L30" s="24">
        <f>SUM(L22,L24,L26,L28)</f>
        <v>403361.7666015625</v>
      </c>
      <c r="M30" s="24">
        <f>SUM(M22,M24,M26,M28)</f>
        <v>139288.4853515625</v>
      </c>
      <c r="N30" s="24">
        <f>SUM(N22,N24,N26,N28)</f>
        <v>139288.4853515625</v>
      </c>
      <c r="O30" s="24">
        <f t="shared" si="12"/>
        <v>681938.7373046875</v>
      </c>
      <c r="P30" s="24">
        <f>SUM(P22,P24,P26,P28)</f>
        <v>139288.4853515625</v>
      </c>
      <c r="Q30" s="24">
        <f>SUM(Q22,Q24,Q26,Q28)</f>
        <v>139288.4853515625</v>
      </c>
      <c r="R30" s="24">
        <f>SUM(R22,R24,R26,R28)</f>
        <v>139288.4853515625</v>
      </c>
      <c r="S30" s="24">
        <f t="shared" si="13"/>
        <v>417865.4560546875</v>
      </c>
      <c r="T30" s="24">
        <f t="shared" si="14"/>
        <v>2199608.38671875</v>
      </c>
      <c r="U30" s="24">
        <f t="shared" si="15"/>
        <v>2199608.38671875</v>
      </c>
      <c r="V30" s="25">
        <f t="shared" si="7"/>
        <v>0</v>
      </c>
      <c r="W30" s="25">
        <f t="shared" si="8"/>
        <v>0</v>
      </c>
      <c r="X30" s="26" t="s">
        <v>4</v>
      </c>
    </row>
    <row r="31" spans="1:24">
      <c r="A31" s="22" t="s">
        <v>33</v>
      </c>
      <c r="B31" s="12">
        <v>0</v>
      </c>
      <c r="C31" s="23">
        <f>C29+C30</f>
        <v>0</v>
      </c>
      <c r="D31" s="24">
        <f>D29+D30</f>
        <v>403361.7666015625</v>
      </c>
      <c r="E31" s="24">
        <f>E29+E30</f>
        <v>139288.4853515625</v>
      </c>
      <c r="F31" s="24">
        <f>F29+F30</f>
        <v>139288.4853515625</v>
      </c>
      <c r="G31" s="24">
        <f t="shared" si="10"/>
        <v>681938.7373046875</v>
      </c>
      <c r="H31" s="24">
        <f>H29+H30</f>
        <v>139288.4853515625</v>
      </c>
      <c r="I31" s="24">
        <f>I29+I30</f>
        <v>139288.4853515625</v>
      </c>
      <c r="J31" s="24">
        <f>J29+J30</f>
        <v>139288.4853515625</v>
      </c>
      <c r="K31" s="24">
        <f t="shared" si="11"/>
        <v>417865.4560546875</v>
      </c>
      <c r="L31" s="24">
        <f>L29+L30</f>
        <v>403361.7666015625</v>
      </c>
      <c r="M31" s="24">
        <f>M29+M30</f>
        <v>139288.4853515625</v>
      </c>
      <c r="N31" s="24">
        <f>N29+N30</f>
        <v>139288.4853515625</v>
      </c>
      <c r="O31" s="24">
        <f t="shared" si="12"/>
        <v>681938.7373046875</v>
      </c>
      <c r="P31" s="24">
        <f>P29+P30</f>
        <v>139288.4853515625</v>
      </c>
      <c r="Q31" s="24">
        <f>Q29+Q30</f>
        <v>139288.4853515625</v>
      </c>
      <c r="R31" s="24">
        <f>R29+R30</f>
        <v>139288.4853515625</v>
      </c>
      <c r="S31" s="24">
        <f t="shared" si="13"/>
        <v>417865.4560546875</v>
      </c>
      <c r="T31" s="24">
        <f t="shared" si="14"/>
        <v>2199608.38671875</v>
      </c>
      <c r="U31" s="24">
        <f t="shared" si="15"/>
        <v>2199608.38671875</v>
      </c>
      <c r="V31" s="25">
        <f t="shared" si="7"/>
        <v>0</v>
      </c>
      <c r="W31" s="25">
        <f t="shared" si="8"/>
        <v>0</v>
      </c>
      <c r="X31" s="26" t="s">
        <v>4</v>
      </c>
    </row>
    <row r="32" spans="1:24" ht="30" customHeight="1">
      <c r="A32" s="20" t="s">
        <v>34</v>
      </c>
      <c r="B32" s="12">
        <v>0</v>
      </c>
      <c r="C32" s="13">
        <f>IFERROR(GETPIVOTDATA("PY Budget",PY_Budget,"LEA",A$1,"Element",A32),0)</f>
        <v>0</v>
      </c>
      <c r="D32" s="14">
        <v>8270.673828125</v>
      </c>
      <c r="E32" s="14">
        <v>8270.673828125</v>
      </c>
      <c r="F32" s="14">
        <v>8270.673828125</v>
      </c>
      <c r="G32" s="15">
        <f t="shared" si="10"/>
        <v>24812.021484375</v>
      </c>
      <c r="H32" s="14">
        <v>8270.673828125</v>
      </c>
      <c r="I32" s="14">
        <v>8270.673828125</v>
      </c>
      <c r="J32" s="14">
        <v>8270.673828125</v>
      </c>
      <c r="K32" s="15">
        <f t="shared" si="11"/>
        <v>24812.021484375</v>
      </c>
      <c r="L32" s="14">
        <v>8270.673828125</v>
      </c>
      <c r="M32" s="14">
        <v>8270.673828125</v>
      </c>
      <c r="N32" s="14">
        <v>8270.673828125</v>
      </c>
      <c r="O32" s="15">
        <f t="shared" si="12"/>
        <v>24812.021484375</v>
      </c>
      <c r="P32" s="14">
        <v>8270.673828125</v>
      </c>
      <c r="Q32" s="14">
        <v>8270.673828125</v>
      </c>
      <c r="R32" s="14">
        <v>8270.673828125</v>
      </c>
      <c r="S32" s="15">
        <f t="shared" si="13"/>
        <v>24812.021484375</v>
      </c>
      <c r="T32" s="15">
        <f t="shared" si="14"/>
        <v>99248.0859375</v>
      </c>
      <c r="U32" s="15">
        <f t="shared" si="15"/>
        <v>99248.0859375</v>
      </c>
      <c r="V32" s="16">
        <f t="shared" si="7"/>
        <v>0</v>
      </c>
      <c r="W32" s="16">
        <f t="shared" si="8"/>
        <v>0</v>
      </c>
      <c r="X32" s="17" t="s">
        <v>4</v>
      </c>
    </row>
    <row r="33" spans="1:24">
      <c r="A33" s="20" t="s">
        <v>35</v>
      </c>
      <c r="B33" s="12">
        <v>0</v>
      </c>
      <c r="C33" s="13">
        <f>IFERROR(GETPIVOTDATA("PY Budget",PY_Budget,"LEA",A$1,"Element",A33),0)</f>
        <v>0</v>
      </c>
      <c r="D33" s="14">
        <v>0</v>
      </c>
      <c r="E33" s="14">
        <v>0</v>
      </c>
      <c r="F33" s="14">
        <v>0</v>
      </c>
      <c r="G33" s="15">
        <f t="shared" si="10"/>
        <v>0</v>
      </c>
      <c r="H33" s="14">
        <v>0</v>
      </c>
      <c r="I33" s="14">
        <v>0</v>
      </c>
      <c r="J33" s="14">
        <v>0</v>
      </c>
      <c r="K33" s="15">
        <f t="shared" si="11"/>
        <v>0</v>
      </c>
      <c r="L33" s="14">
        <v>0</v>
      </c>
      <c r="M33" s="14">
        <v>0</v>
      </c>
      <c r="N33" s="14">
        <v>0</v>
      </c>
      <c r="O33" s="15">
        <f t="shared" si="12"/>
        <v>0</v>
      </c>
      <c r="P33" s="14">
        <v>0</v>
      </c>
      <c r="Q33" s="14">
        <v>0</v>
      </c>
      <c r="R33" s="14">
        <v>0</v>
      </c>
      <c r="S33" s="15">
        <f t="shared" si="13"/>
        <v>0</v>
      </c>
      <c r="T33" s="15">
        <f t="shared" si="14"/>
        <v>0</v>
      </c>
      <c r="U33" s="15">
        <f t="shared" si="15"/>
        <v>0</v>
      </c>
      <c r="V33" s="16">
        <f t="shared" si="7"/>
        <v>0</v>
      </c>
      <c r="W33" s="16">
        <f t="shared" si="8"/>
        <v>0</v>
      </c>
      <c r="X33" s="17" t="s">
        <v>4</v>
      </c>
    </row>
    <row r="34" spans="1:24">
      <c r="A34" s="20" t="s">
        <v>36</v>
      </c>
      <c r="B34" s="12">
        <v>0</v>
      </c>
      <c r="C34" s="13">
        <f>IFERROR(GETPIVOTDATA("PY Budget",PY_Budget,"LEA",A$1,"Element",A34),0)</f>
        <v>0</v>
      </c>
      <c r="D34" s="14">
        <v>0</v>
      </c>
      <c r="E34" s="14">
        <v>0</v>
      </c>
      <c r="F34" s="14">
        <v>0</v>
      </c>
      <c r="G34" s="15">
        <f t="shared" si="10"/>
        <v>0</v>
      </c>
      <c r="H34" s="14">
        <v>0</v>
      </c>
      <c r="I34" s="14">
        <v>0</v>
      </c>
      <c r="J34" s="14">
        <v>0</v>
      </c>
      <c r="K34" s="15">
        <f t="shared" si="11"/>
        <v>0</v>
      </c>
      <c r="L34" s="14">
        <v>0</v>
      </c>
      <c r="M34" s="14">
        <v>0</v>
      </c>
      <c r="N34" s="14">
        <v>0</v>
      </c>
      <c r="O34" s="15">
        <f t="shared" si="12"/>
        <v>0</v>
      </c>
      <c r="P34" s="14">
        <v>0</v>
      </c>
      <c r="Q34" s="14">
        <v>0</v>
      </c>
      <c r="R34" s="14">
        <v>0</v>
      </c>
      <c r="S34" s="15">
        <f t="shared" si="13"/>
        <v>0</v>
      </c>
      <c r="T34" s="15">
        <f t="shared" si="14"/>
        <v>0</v>
      </c>
      <c r="U34" s="15">
        <f t="shared" si="15"/>
        <v>0</v>
      </c>
      <c r="V34" s="16">
        <f t="shared" si="7"/>
        <v>0</v>
      </c>
      <c r="W34" s="16">
        <f t="shared" si="8"/>
        <v>0</v>
      </c>
      <c r="X34" s="17" t="s">
        <v>4</v>
      </c>
    </row>
    <row r="35" spans="1:24">
      <c r="A35" s="20" t="s">
        <v>37</v>
      </c>
      <c r="B35" s="12">
        <v>0</v>
      </c>
      <c r="C35" s="13">
        <f>IFERROR(GETPIVOTDATA("PY Budget",PY_Budget,"LEA",A$1,"Element",A35),0)</f>
        <v>0</v>
      </c>
      <c r="D35" s="14">
        <v>77649.959594726548</v>
      </c>
      <c r="E35" s="14">
        <v>77649.959594726548</v>
      </c>
      <c r="F35" s="14">
        <v>73345.058553059876</v>
      </c>
      <c r="G35" s="15">
        <f t="shared" si="10"/>
        <v>228644.97774251297</v>
      </c>
      <c r="H35" s="14">
        <v>142423.05855305991</v>
      </c>
      <c r="I35" s="14">
        <v>70035.499959309876</v>
      </c>
      <c r="J35" s="14">
        <v>70035.499959309876</v>
      </c>
      <c r="K35" s="15">
        <f t="shared" si="11"/>
        <v>282494.05847167969</v>
      </c>
      <c r="L35" s="14">
        <v>140513.49995930991</v>
      </c>
      <c r="M35" s="14">
        <v>70035.499959309876</v>
      </c>
      <c r="N35" s="14">
        <v>70035.499959309876</v>
      </c>
      <c r="O35" s="15">
        <f t="shared" si="12"/>
        <v>280584.49987792969</v>
      </c>
      <c r="P35" s="14">
        <v>70035.499959309876</v>
      </c>
      <c r="Q35" s="14">
        <v>75764.175740559876</v>
      </c>
      <c r="R35" s="14">
        <v>76251</v>
      </c>
      <c r="S35" s="15">
        <f t="shared" si="13"/>
        <v>222050.67569986975</v>
      </c>
      <c r="T35" s="15">
        <f t="shared" si="14"/>
        <v>1013774.2117919921</v>
      </c>
      <c r="U35" s="15">
        <f t="shared" si="15"/>
        <v>1013774.2117919921</v>
      </c>
      <c r="V35" s="16">
        <f t="shared" si="7"/>
        <v>0</v>
      </c>
      <c r="W35" s="16">
        <f t="shared" si="8"/>
        <v>0</v>
      </c>
      <c r="X35" s="17" t="s">
        <v>4</v>
      </c>
    </row>
    <row r="36" spans="1:24">
      <c r="A36" s="22" t="s">
        <v>38</v>
      </c>
      <c r="B36" s="12">
        <v>0</v>
      </c>
      <c r="C36" s="23">
        <f>SUM(C32:C35)</f>
        <v>0</v>
      </c>
      <c r="D36" s="24">
        <f>SUM(D32:D35)</f>
        <v>85920.633422851548</v>
      </c>
      <c r="E36" s="24">
        <f>SUM(E32:E35)</f>
        <v>85920.633422851548</v>
      </c>
      <c r="F36" s="24">
        <f>SUM(F32:F35)</f>
        <v>81615.732381184876</v>
      </c>
      <c r="G36" s="24">
        <f t="shared" si="10"/>
        <v>253456.99922688797</v>
      </c>
      <c r="H36" s="24">
        <f>SUM(H32:H35)</f>
        <v>150693.73238118491</v>
      </c>
      <c r="I36" s="24">
        <f>SUM(I32:I35)</f>
        <v>78306.173787434876</v>
      </c>
      <c r="J36" s="24">
        <f>SUM(J32:J35)</f>
        <v>78306.173787434876</v>
      </c>
      <c r="K36" s="24">
        <f t="shared" si="11"/>
        <v>307306.07995605469</v>
      </c>
      <c r="L36" s="24">
        <f>SUM(L32:L35)</f>
        <v>148784.17378743491</v>
      </c>
      <c r="M36" s="24">
        <f>SUM(M32:M35)</f>
        <v>78306.173787434876</v>
      </c>
      <c r="N36" s="24">
        <f>SUM(N32:N35)</f>
        <v>78306.173787434876</v>
      </c>
      <c r="O36" s="24">
        <f t="shared" si="12"/>
        <v>305396.52136230469</v>
      </c>
      <c r="P36" s="24">
        <f>SUM(P32:P35)</f>
        <v>78306.173787434876</v>
      </c>
      <c r="Q36" s="24">
        <f>SUM(Q32:Q35)</f>
        <v>84034.849568684876</v>
      </c>
      <c r="R36" s="24">
        <f>SUM(R32:R35)</f>
        <v>84521.673828125</v>
      </c>
      <c r="S36" s="24">
        <f t="shared" si="13"/>
        <v>246862.69718424475</v>
      </c>
      <c r="T36" s="24">
        <f t="shared" si="14"/>
        <v>1113022.2977294922</v>
      </c>
      <c r="U36" s="24">
        <f t="shared" si="15"/>
        <v>1113022.2977294922</v>
      </c>
      <c r="V36" s="25">
        <f t="shared" si="7"/>
        <v>0</v>
      </c>
      <c r="W36" s="25">
        <f t="shared" si="8"/>
        <v>0</v>
      </c>
      <c r="X36" s="26" t="s">
        <v>4</v>
      </c>
    </row>
    <row r="37" spans="1:24" ht="30" customHeight="1">
      <c r="A37" s="22" t="s">
        <v>39</v>
      </c>
      <c r="B37" s="12">
        <v>0</v>
      </c>
      <c r="C37" s="23">
        <f>SUM(C17,C21,C31,C36)</f>
        <v>0</v>
      </c>
      <c r="D37" s="24">
        <f>SUM(D17,D21,D31,D36)</f>
        <v>650651.02388940856</v>
      </c>
      <c r="E37" s="24">
        <f>SUM(E17,E21,E31,E36)</f>
        <v>1068955.3097932565</v>
      </c>
      <c r="F37" s="24">
        <f>SUM(F17,F21,F31,F36)</f>
        <v>1201563.3763015589</v>
      </c>
      <c r="G37" s="24">
        <f t="shared" si="10"/>
        <v>2921169.7099842243</v>
      </c>
      <c r="H37" s="24">
        <f>SUM(H17,H21,H31,H36)</f>
        <v>1270641.3763015589</v>
      </c>
      <c r="I37" s="24">
        <f>SUM(I17,I21,I31,I36)</f>
        <v>1198253.8177078089</v>
      </c>
      <c r="J37" s="24">
        <f>SUM(J17,J21,J31,J36)</f>
        <v>1192503.0788097824</v>
      </c>
      <c r="K37" s="24">
        <f t="shared" si="11"/>
        <v>3661398.2728191502</v>
      </c>
      <c r="L37" s="24">
        <f>SUM(L17,L21,L31,L36)</f>
        <v>1532805.0989578089</v>
      </c>
      <c r="M37" s="24">
        <f>SUM(M17,M21,M31,M36)</f>
        <v>1198253.8177078089</v>
      </c>
      <c r="N37" s="24">
        <f>SUM(N17,N21,N31,N36)</f>
        <v>1192503.0788097824</v>
      </c>
      <c r="O37" s="24">
        <f t="shared" si="12"/>
        <v>3923561.9954754002</v>
      </c>
      <c r="P37" s="24">
        <f>SUM(P17,P21,P31,P36)</f>
        <v>1198253.8177078089</v>
      </c>
      <c r="Q37" s="24">
        <f>SUM(Q17,Q21,Q31,Q36)</f>
        <v>1203982.4934890589</v>
      </c>
      <c r="R37" s="24">
        <f>SUM(R17,R21,R31,R36)</f>
        <v>1738432.4395563251</v>
      </c>
      <c r="S37" s="24">
        <f t="shared" si="13"/>
        <v>4140668.7507531932</v>
      </c>
      <c r="T37" s="24">
        <f t="shared" si="14"/>
        <v>14646798.729031969</v>
      </c>
      <c r="U37" s="24">
        <f t="shared" si="15"/>
        <v>14646798.729031969</v>
      </c>
      <c r="V37" s="25">
        <f t="shared" si="7"/>
        <v>0</v>
      </c>
      <c r="W37" s="25">
        <f t="shared" si="8"/>
        <v>0</v>
      </c>
      <c r="X37" s="26" t="s">
        <v>4</v>
      </c>
    </row>
    <row r="38" spans="1:24" ht="30" customHeight="1">
      <c r="A38" s="22" t="s">
        <v>40</v>
      </c>
      <c r="B38" s="12">
        <v>0</v>
      </c>
      <c r="C38" s="36">
        <f>C10-C37</f>
        <v>0</v>
      </c>
      <c r="D38" s="15">
        <f>D10-D37</f>
        <v>596664.54744034412</v>
      </c>
      <c r="E38" s="15">
        <f>E10-E37</f>
        <v>126523.17712808773</v>
      </c>
      <c r="F38" s="15">
        <f>F10-F37</f>
        <v>68201.890089414548</v>
      </c>
      <c r="G38" s="15">
        <f t="shared" si="10"/>
        <v>791389.6146578464</v>
      </c>
      <c r="H38" s="15">
        <f>H10-H37</f>
        <v>-61715.819627382327</v>
      </c>
      <c r="I38" s="15">
        <f>I10-I37</f>
        <v>10671.738966367673</v>
      </c>
      <c r="J38" s="15">
        <f>J10-J37</f>
        <v>113118.72075219243</v>
      </c>
      <c r="K38" s="15">
        <f t="shared" si="11"/>
        <v>62074.640091177775</v>
      </c>
      <c r="L38" s="15">
        <f>L10-L37</f>
        <v>-303640.03117523389</v>
      </c>
      <c r="M38" s="15">
        <f>M10-M37</f>
        <v>30911.250074766111</v>
      </c>
      <c r="N38" s="15">
        <f>N10-N37</f>
        <v>32160.676318598678</v>
      </c>
      <c r="O38" s="15">
        <f t="shared" si="12"/>
        <v>-240568.1047818691</v>
      </c>
      <c r="P38" s="15">
        <f>P10-P37</f>
        <v>30911.250074766111</v>
      </c>
      <c r="Q38" s="15">
        <f>Q10-Q37</f>
        <v>25182.574293516111</v>
      </c>
      <c r="R38" s="15">
        <f>R10-R37</f>
        <v>-520114.44152658246</v>
      </c>
      <c r="S38" s="15">
        <f t="shared" si="13"/>
        <v>-464020.61715830024</v>
      </c>
      <c r="T38" s="15">
        <f t="shared" si="14"/>
        <v>148875.53280885483</v>
      </c>
      <c r="U38" s="15">
        <f t="shared" si="15"/>
        <v>148875.53280885483</v>
      </c>
      <c r="V38" s="16">
        <f t="shared" si="7"/>
        <v>0</v>
      </c>
      <c r="W38" s="16">
        <f t="shared" si="8"/>
        <v>0</v>
      </c>
      <c r="X38" s="26" t="s">
        <v>4</v>
      </c>
    </row>
    <row r="39" spans="1:24">
      <c r="A39" s="11" t="s">
        <v>41</v>
      </c>
      <c r="B39" s="12">
        <v>0</v>
      </c>
      <c r="C39" s="37">
        <v>0</v>
      </c>
      <c r="D39" s="18">
        <v>0</v>
      </c>
      <c r="E39" s="18">
        <v>0</v>
      </c>
      <c r="F39" s="18">
        <v>0</v>
      </c>
      <c r="G39" s="15">
        <f t="shared" si="10"/>
        <v>0</v>
      </c>
      <c r="H39" s="18">
        <v>0</v>
      </c>
      <c r="I39" s="18">
        <v>0</v>
      </c>
      <c r="J39" s="18">
        <v>0</v>
      </c>
      <c r="K39" s="15">
        <f t="shared" si="11"/>
        <v>0</v>
      </c>
      <c r="L39" s="18">
        <v>0</v>
      </c>
      <c r="M39" s="18">
        <v>0</v>
      </c>
      <c r="N39" s="18">
        <v>0</v>
      </c>
      <c r="O39" s="15">
        <f t="shared" si="12"/>
        <v>0</v>
      </c>
      <c r="P39" s="18">
        <v>0</v>
      </c>
      <c r="Q39" s="18">
        <v>0</v>
      </c>
      <c r="R39" s="18">
        <v>0</v>
      </c>
      <c r="S39" s="15">
        <f t="shared" si="13"/>
        <v>0</v>
      </c>
      <c r="T39" s="15">
        <f t="shared" si="14"/>
        <v>0</v>
      </c>
      <c r="U39" s="37">
        <v>0</v>
      </c>
      <c r="V39" s="12">
        <v>0</v>
      </c>
      <c r="W39" s="12">
        <v>0</v>
      </c>
      <c r="X39" s="26" t="s">
        <v>4</v>
      </c>
    </row>
    <row r="40" spans="1:24">
      <c r="A40" s="11" t="s">
        <v>42</v>
      </c>
      <c r="B40" s="12" t="s">
        <v>4</v>
      </c>
      <c r="C40" s="38" t="s">
        <v>4</v>
      </c>
      <c r="D40" s="18" t="str">
        <f>IF(D39=0,"None","Describe")</f>
        <v>None</v>
      </c>
      <c r="E40" s="18" t="str">
        <f>IF(E39=0,"None","Describe")</f>
        <v>None</v>
      </c>
      <c r="F40" s="18" t="str">
        <f>IF(F39=0,"None","Describe")</f>
        <v>None</v>
      </c>
      <c r="G40" s="39" t="s">
        <v>43</v>
      </c>
      <c r="H40" s="18" t="str">
        <f>IF(H39=0,"None","Describe")</f>
        <v>None</v>
      </c>
      <c r="I40" s="18" t="str">
        <f>IF(I39=0,"None","Describe")</f>
        <v>None</v>
      </c>
      <c r="J40" s="18" t="str">
        <f>IF(J39=0,"None","Describe")</f>
        <v>None</v>
      </c>
      <c r="K40" s="39" t="s">
        <v>43</v>
      </c>
      <c r="L40" s="18" t="str">
        <f>IF(L39=0,"None","Describe")</f>
        <v>None</v>
      </c>
      <c r="M40" s="18" t="str">
        <f>IF(M39=0,"None","Describe")</f>
        <v>None</v>
      </c>
      <c r="N40" s="18" t="str">
        <f>IF(N39=0,"None","Describe")</f>
        <v>None</v>
      </c>
      <c r="O40" s="39" t="s">
        <v>43</v>
      </c>
      <c r="P40" s="18" t="str">
        <f>IF(P39=0,"None","Describe")</f>
        <v>None</v>
      </c>
      <c r="Q40" s="18" t="str">
        <f>IF(Q39=0,"None","Describe")</f>
        <v>None</v>
      </c>
      <c r="R40" s="18" t="str">
        <f>IF(R39=0,"None","Describe")</f>
        <v>None</v>
      </c>
      <c r="S40" s="39" t="s">
        <v>43</v>
      </c>
      <c r="T40" s="39" t="s">
        <v>43</v>
      </c>
      <c r="U40" s="37" t="s">
        <v>4</v>
      </c>
      <c r="V40" s="37" t="s">
        <v>4</v>
      </c>
      <c r="W40" s="37" t="s">
        <v>4</v>
      </c>
      <c r="X40" s="40" t="s">
        <v>4</v>
      </c>
    </row>
    <row r="41" spans="1:24">
      <c r="A41" s="11" t="s">
        <v>44</v>
      </c>
      <c r="B41" s="12">
        <v>0</v>
      </c>
      <c r="C41" s="37">
        <v>0</v>
      </c>
      <c r="D41" s="18">
        <v>0</v>
      </c>
      <c r="E41" s="18">
        <v>0</v>
      </c>
      <c r="F41" s="18">
        <v>0</v>
      </c>
      <c r="G41" s="15">
        <f>SUM(D41:F41)</f>
        <v>0</v>
      </c>
      <c r="H41" s="18">
        <v>0</v>
      </c>
      <c r="I41" s="18">
        <v>0</v>
      </c>
      <c r="J41" s="18">
        <v>0</v>
      </c>
      <c r="K41" s="15">
        <f>SUM(H41:J41)</f>
        <v>0</v>
      </c>
      <c r="L41" s="18">
        <v>0</v>
      </c>
      <c r="M41" s="18">
        <v>0</v>
      </c>
      <c r="N41" s="18">
        <v>0</v>
      </c>
      <c r="O41" s="15">
        <f>SUM(L41:N41)</f>
        <v>0</v>
      </c>
      <c r="P41" s="18">
        <v>0</v>
      </c>
      <c r="Q41" s="18">
        <v>0</v>
      </c>
      <c r="R41" s="18">
        <v>0</v>
      </c>
      <c r="S41" s="15">
        <f>SUM(P41:R41)</f>
        <v>0</v>
      </c>
      <c r="T41" s="15">
        <f>SUM(G41,K41,O41,S41)</f>
        <v>0</v>
      </c>
      <c r="U41" s="37">
        <v>0</v>
      </c>
      <c r="V41" s="12">
        <v>0</v>
      </c>
      <c r="W41" s="12">
        <v>0</v>
      </c>
      <c r="X41" s="26" t="s">
        <v>4</v>
      </c>
    </row>
    <row r="42" spans="1:24">
      <c r="A42" s="11" t="s">
        <v>45</v>
      </c>
      <c r="B42" s="12" t="s">
        <v>4</v>
      </c>
      <c r="C42" s="38" t="s">
        <v>4</v>
      </c>
      <c r="D42" s="41" t="str">
        <f>IF(D41=0,"None","Describe")</f>
        <v>None</v>
      </c>
      <c r="E42" s="41" t="str">
        <f>IF(E41=0,"None","Describe")</f>
        <v>None</v>
      </c>
      <c r="F42" s="41" t="str">
        <f>IF(F41=0,"None","Describe")</f>
        <v>None</v>
      </c>
      <c r="G42" s="42" t="s">
        <v>43</v>
      </c>
      <c r="H42" s="41" t="str">
        <f>IF(H41=0,"None","Describe")</f>
        <v>None</v>
      </c>
      <c r="I42" s="41" t="str">
        <f>IF(I41=0,"None","Describe")</f>
        <v>None</v>
      </c>
      <c r="J42" s="41" t="str">
        <f>IF(J41=0,"None","Describe")</f>
        <v>None</v>
      </c>
      <c r="K42" s="42" t="s">
        <v>43</v>
      </c>
      <c r="L42" s="41" t="str">
        <f>IF(L41=0,"None","Describe")</f>
        <v>None</v>
      </c>
      <c r="M42" s="41" t="str">
        <f>IF(M41=0,"None","Describe")</f>
        <v>None</v>
      </c>
      <c r="N42" s="41" t="str">
        <f>IF(N41=0,"None","Describe")</f>
        <v>None</v>
      </c>
      <c r="O42" s="42" t="s">
        <v>43</v>
      </c>
      <c r="P42" s="41" t="str">
        <f>IF(P41=0,"None","Describe")</f>
        <v>None</v>
      </c>
      <c r="Q42" s="41" t="str">
        <f>IF(Q41=0,"None","Describe")</f>
        <v>None</v>
      </c>
      <c r="R42" s="41" t="str">
        <f>IF(R41=0,"None","Describe")</f>
        <v>None</v>
      </c>
      <c r="S42" s="42" t="s">
        <v>43</v>
      </c>
      <c r="T42" s="42" t="s">
        <v>43</v>
      </c>
      <c r="U42" s="37" t="s">
        <v>4</v>
      </c>
      <c r="V42" s="37" t="s">
        <v>4</v>
      </c>
      <c r="W42" s="37" t="s">
        <v>4</v>
      </c>
      <c r="X42" s="40" t="s">
        <v>4</v>
      </c>
    </row>
    <row r="43" spans="1:24">
      <c r="A43" s="22" t="s">
        <v>46</v>
      </c>
      <c r="B43" s="12">
        <v>0</v>
      </c>
      <c r="C43" s="37">
        <v>0</v>
      </c>
      <c r="D43" s="24">
        <f>SUM(D38:D39,D41)</f>
        <v>596664.54744034412</v>
      </c>
      <c r="E43" s="24">
        <f>SUM(E38:E39,E41)</f>
        <v>126523.17712808773</v>
      </c>
      <c r="F43" s="24">
        <f>SUM(F38:F39,F41)</f>
        <v>68201.890089414548</v>
      </c>
      <c r="G43" s="24">
        <f>SUM(D43:F43)</f>
        <v>791389.6146578464</v>
      </c>
      <c r="H43" s="24">
        <f t="shared" ref="H43:N43" si="17">SUM(H38:H39,H41)</f>
        <v>-61715.819627382327</v>
      </c>
      <c r="I43" s="24">
        <f t="shared" si="17"/>
        <v>10671.738966367673</v>
      </c>
      <c r="J43" s="24">
        <f t="shared" si="17"/>
        <v>113118.72075219243</v>
      </c>
      <c r="K43" s="24">
        <f t="shared" si="17"/>
        <v>62074.640091177775</v>
      </c>
      <c r="L43" s="24">
        <f t="shared" si="17"/>
        <v>-303640.03117523389</v>
      </c>
      <c r="M43" s="24">
        <f t="shared" si="17"/>
        <v>30911.250074766111</v>
      </c>
      <c r="N43" s="24">
        <f t="shared" si="17"/>
        <v>32160.676318598678</v>
      </c>
      <c r="O43" s="24">
        <f>SUM(L43:N43)</f>
        <v>-240568.1047818691</v>
      </c>
      <c r="P43" s="24">
        <f>SUM(P38:P39,P41)</f>
        <v>30911.250074766111</v>
      </c>
      <c r="Q43" s="24">
        <f>SUM(Q38:Q39,Q41)</f>
        <v>25182.574293516111</v>
      </c>
      <c r="R43" s="24">
        <f>SUM(R38:R39,R41)</f>
        <v>-520114.44152658246</v>
      </c>
      <c r="S43" s="24">
        <f>SUM(P43:R43)</f>
        <v>-464020.61715830024</v>
      </c>
      <c r="T43" s="24">
        <f>SUM(G43,K43,O43,S43)</f>
        <v>148875.53280885483</v>
      </c>
      <c r="U43" s="37">
        <v>0</v>
      </c>
      <c r="V43" s="12">
        <v>0</v>
      </c>
      <c r="W43" s="12">
        <v>0</v>
      </c>
      <c r="X43" s="26" t="s">
        <v>4</v>
      </c>
    </row>
    <row r="44" spans="1:24" ht="30" customHeight="1" thickBot="1">
      <c r="A44" s="22" t="s">
        <v>47</v>
      </c>
      <c r="B44" s="12">
        <v>0</v>
      </c>
      <c r="C44" s="13">
        <f>IFERROR(GETPIVOTDATA("PY Budget",PY_Budget,"LEA",A$1,"Element",A44),0)</f>
        <v>0</v>
      </c>
      <c r="D44" s="43">
        <v>8523456.3331951536</v>
      </c>
      <c r="E44" s="44">
        <f>D44+E43</f>
        <v>8649979.5103232414</v>
      </c>
      <c r="F44" s="44">
        <f>E44+F43</f>
        <v>8718181.4004126564</v>
      </c>
      <c r="G44" s="44">
        <f>F44</f>
        <v>8718181.4004126564</v>
      </c>
      <c r="H44" s="44">
        <f>G44+H43</f>
        <v>8656465.5807852745</v>
      </c>
      <c r="I44" s="44">
        <f>H44+I43</f>
        <v>8667137.3197516426</v>
      </c>
      <c r="J44" s="44">
        <f>I44+J43</f>
        <v>8780256.0405038353</v>
      </c>
      <c r="K44" s="44">
        <f>J44</f>
        <v>8780256.0405038353</v>
      </c>
      <c r="L44" s="44">
        <f>K44+L43</f>
        <v>8476616.0093286019</v>
      </c>
      <c r="M44" s="44">
        <f>L44+M43</f>
        <v>8507527.2594033685</v>
      </c>
      <c r="N44" s="44">
        <f>M44+N43</f>
        <v>8539687.9357219674</v>
      </c>
      <c r="O44" s="44">
        <f>N44</f>
        <v>8539687.9357219674</v>
      </c>
      <c r="P44" s="44">
        <f>O44+P43</f>
        <v>8570599.1857967339</v>
      </c>
      <c r="Q44" s="44">
        <f>P44+Q43</f>
        <v>8595781.7600902505</v>
      </c>
      <c r="R44" s="44">
        <f>Q44+R43</f>
        <v>8075667.3185636681</v>
      </c>
      <c r="S44" s="44">
        <f>R44</f>
        <v>8075667.3185636681</v>
      </c>
      <c r="T44" s="44">
        <f>S44</f>
        <v>8075667.3185636681</v>
      </c>
      <c r="U44" s="44">
        <f>T44-C44</f>
        <v>8075667.3185636681</v>
      </c>
      <c r="V44" s="45">
        <f>IF(C44=0,0,U44/C44)</f>
        <v>0</v>
      </c>
      <c r="W44" s="45">
        <f>IF(AND(T$10,C$10),T44/T$10-C44/C$10,0)</f>
        <v>0</v>
      </c>
      <c r="X44" s="26" t="s">
        <v>4</v>
      </c>
    </row>
    <row r="45" spans="1:24" ht="30" customHeight="1" thickTop="1">
      <c r="A45" s="21" t="s">
        <v>48</v>
      </c>
      <c r="B45" s="12">
        <v>0</v>
      </c>
      <c r="C45" s="37">
        <v>0</v>
      </c>
      <c r="D45" s="14">
        <v>3750914.9507324225</v>
      </c>
      <c r="E45" s="14">
        <v>-943976.38699287258</v>
      </c>
      <c r="F45" s="14">
        <v>-991062.04018040712</v>
      </c>
      <c r="G45" s="15">
        <f>SUM(D45:F45)</f>
        <v>1815876.5235591428</v>
      </c>
      <c r="H45" s="14">
        <v>3118776.345415296</v>
      </c>
      <c r="I45" s="14">
        <v>-1048592.1913034539</v>
      </c>
      <c r="J45" s="14">
        <v>-946145.20951762935</v>
      </c>
      <c r="K45" s="15">
        <f>SUM(H45:J45)</f>
        <v>1124038.9445942128</v>
      </c>
      <c r="L45" s="14">
        <v>1019286.7776174446</v>
      </c>
      <c r="M45" s="14">
        <v>-1028352.6801950554</v>
      </c>
      <c r="N45" s="14">
        <v>-1027103.2539512231</v>
      </c>
      <c r="O45" s="15">
        <f>SUM(L45:N45)</f>
        <v>-1036169.1565288339</v>
      </c>
      <c r="P45" s="14">
        <v>1353159.5198049447</v>
      </c>
      <c r="Q45" s="14">
        <v>-1034081.3559763054</v>
      </c>
      <c r="R45" s="14">
        <v>-925199.60765530821</v>
      </c>
      <c r="S45" s="15">
        <f>SUM(P45:R45)</f>
        <v>-606121.4438266689</v>
      </c>
      <c r="T45" s="15">
        <f>SUM(G45,K45,O45,S45)</f>
        <v>1297624.867797853</v>
      </c>
      <c r="U45" s="37">
        <v>0</v>
      </c>
      <c r="V45" s="12">
        <v>0</v>
      </c>
      <c r="W45" s="12">
        <v>0</v>
      </c>
      <c r="X45" s="26" t="s">
        <v>4</v>
      </c>
    </row>
    <row r="46" spans="1:24">
      <c r="A46" s="21" t="s">
        <v>49</v>
      </c>
      <c r="B46" s="12">
        <v>0</v>
      </c>
      <c r="C46" s="37">
        <v>0</v>
      </c>
      <c r="D46" s="14">
        <v>-380499.99999999994</v>
      </c>
      <c r="E46" s="14">
        <v>-380499.99999999994</v>
      </c>
      <c r="F46" s="14">
        <v>-380499.99999999994</v>
      </c>
      <c r="G46" s="15">
        <f>SUM(D46:F46)</f>
        <v>-1141499.9999999998</v>
      </c>
      <c r="H46" s="14">
        <v>-354166.66666666663</v>
      </c>
      <c r="I46" s="14">
        <v>-354166.66666666663</v>
      </c>
      <c r="J46" s="14">
        <v>-354166.66666666663</v>
      </c>
      <c r="K46" s="15">
        <f>SUM(H46:J46)</f>
        <v>-1062500</v>
      </c>
      <c r="L46" s="14">
        <v>-354166.66666666663</v>
      </c>
      <c r="M46" s="14">
        <v>-354166.66666666663</v>
      </c>
      <c r="N46" s="14">
        <v>-354166.66666666663</v>
      </c>
      <c r="O46" s="15">
        <f>SUM(L46:N46)</f>
        <v>-1062500</v>
      </c>
      <c r="P46" s="14">
        <v>-354166.66666666663</v>
      </c>
      <c r="Q46" s="14">
        <v>-354166.66666666663</v>
      </c>
      <c r="R46" s="14">
        <v>-354166.66666666663</v>
      </c>
      <c r="S46" s="15">
        <f>SUM(P46:R46)</f>
        <v>-1062500</v>
      </c>
      <c r="T46" s="15">
        <f>SUM(G46,K46,O46,S46)</f>
        <v>-4329000</v>
      </c>
      <c r="U46" s="37">
        <v>0</v>
      </c>
      <c r="V46" s="12">
        <v>0</v>
      </c>
      <c r="W46" s="12">
        <v>0</v>
      </c>
      <c r="X46" s="26" t="s">
        <v>4</v>
      </c>
    </row>
    <row r="47" spans="1:24">
      <c r="A47" s="21" t="s">
        <v>50</v>
      </c>
      <c r="B47" s="12">
        <v>0</v>
      </c>
      <c r="C47" s="37">
        <v>0</v>
      </c>
      <c r="D47" s="14">
        <v>-87702.146282561487</v>
      </c>
      <c r="E47" s="14">
        <v>2877.989949544271</v>
      </c>
      <c r="F47" s="14">
        <v>2877.989949544271</v>
      </c>
      <c r="G47" s="15">
        <f>SUM(D47:F47)</f>
        <v>-81946.166383472955</v>
      </c>
      <c r="H47" s="14">
        <v>-12741.096623141735</v>
      </c>
      <c r="I47" s="14">
        <v>2877.989949544271</v>
      </c>
      <c r="J47" s="14">
        <v>2877.989949544271</v>
      </c>
      <c r="K47" s="15">
        <f>SUM(H47:J47)</f>
        <v>-6985.1167240531922</v>
      </c>
      <c r="L47" s="14">
        <v>-87780.144339573453</v>
      </c>
      <c r="M47" s="14">
        <v>2877.989949544271</v>
      </c>
      <c r="N47" s="14">
        <v>2877.989949544271</v>
      </c>
      <c r="O47" s="15">
        <f>SUM(L47:N47)</f>
        <v>-82024.164440484921</v>
      </c>
      <c r="P47" s="14">
        <v>-12819.289675296252</v>
      </c>
      <c r="Q47" s="14">
        <v>2877.989949544271</v>
      </c>
      <c r="R47" s="14">
        <v>-29124.19364420573</v>
      </c>
      <c r="S47" s="15">
        <f>SUM(P47:R47)</f>
        <v>-39065.493369957709</v>
      </c>
      <c r="T47" s="15">
        <f>SUM(G47,K47,O47,S47)</f>
        <v>-210020.94091796881</v>
      </c>
      <c r="U47" s="37">
        <v>0</v>
      </c>
      <c r="V47" s="12">
        <v>0</v>
      </c>
      <c r="W47" s="12">
        <v>0</v>
      </c>
      <c r="X47" s="26" t="s">
        <v>4</v>
      </c>
    </row>
    <row r="48" spans="1:24">
      <c r="A48" s="22" t="s">
        <v>51</v>
      </c>
      <c r="B48" s="12">
        <v>0</v>
      </c>
      <c r="C48" s="37">
        <v>0</v>
      </c>
      <c r="D48" s="24">
        <f>SUM(D45:D47)</f>
        <v>3282712.8044498609</v>
      </c>
      <c r="E48" s="24">
        <f>SUM(E45:E47)</f>
        <v>-1321598.3970433283</v>
      </c>
      <c r="F48" s="24">
        <f>SUM(F45:F47)</f>
        <v>-1368684.0502308628</v>
      </c>
      <c r="G48" s="24">
        <f>SUM(D48:F48)</f>
        <v>592430.35717566987</v>
      </c>
      <c r="H48" s="24">
        <f>SUM(H45:H47)</f>
        <v>2751868.5821254877</v>
      </c>
      <c r="I48" s="24">
        <f>SUM(I45:I47)</f>
        <v>-1399880.8680205762</v>
      </c>
      <c r="J48" s="24">
        <f>SUM(J45:J47)</f>
        <v>-1297433.8862347517</v>
      </c>
      <c r="K48" s="24">
        <f>SUM(H48:J48)</f>
        <v>54553.827870159876</v>
      </c>
      <c r="L48" s="24">
        <f>SUM(L45:L47)</f>
        <v>577339.96661120455</v>
      </c>
      <c r="M48" s="24">
        <f>SUM(M45:M47)</f>
        <v>-1379641.3569121778</v>
      </c>
      <c r="N48" s="24">
        <f>SUM(N45:N47)</f>
        <v>-1378391.9306683454</v>
      </c>
      <c r="O48" s="24">
        <f>SUM(L48:N48)</f>
        <v>-2180693.3209693185</v>
      </c>
      <c r="P48" s="24">
        <f>SUM(P45:P47)</f>
        <v>986173.56346298184</v>
      </c>
      <c r="Q48" s="24">
        <f>SUM(Q45:Q47)</f>
        <v>-1385370.0326934278</v>
      </c>
      <c r="R48" s="24">
        <f>SUM(R45:R47)</f>
        <v>-1308490.4679661805</v>
      </c>
      <c r="S48" s="24">
        <f>SUM(P48:R48)</f>
        <v>-1707686.9371966263</v>
      </c>
      <c r="T48" s="24">
        <f>SUM(G48,K48,O48,S48)</f>
        <v>-3241396.0731201153</v>
      </c>
      <c r="U48" s="37">
        <v>0</v>
      </c>
      <c r="V48" s="12">
        <v>0</v>
      </c>
      <c r="W48" s="12">
        <v>0</v>
      </c>
      <c r="X48" s="26" t="s">
        <v>4</v>
      </c>
    </row>
    <row r="49" spans="1:24" ht="30" customHeight="1" thickBot="1">
      <c r="A49" s="46" t="s">
        <v>52</v>
      </c>
      <c r="B49" s="12">
        <v>0</v>
      </c>
      <c r="C49" s="13">
        <f>IFERROR(GETPIVOTDATA("PY Budget",PY_Budget,"LEA",A$1,"Element",A49),0)</f>
        <v>0</v>
      </c>
      <c r="D49" s="43">
        <v>14192701.721202962</v>
      </c>
      <c r="E49" s="44">
        <f>D49+E48</f>
        <v>12871103.324159633</v>
      </c>
      <c r="F49" s="44">
        <f>E49+F48</f>
        <v>11502419.273928771</v>
      </c>
      <c r="G49" s="44">
        <f>F49</f>
        <v>11502419.273928771</v>
      </c>
      <c r="H49" s="44">
        <f>G49+H48</f>
        <v>14254287.856054258</v>
      </c>
      <c r="I49" s="44">
        <f>H49+I48</f>
        <v>12854406.988033682</v>
      </c>
      <c r="J49" s="44">
        <f>I49+J48</f>
        <v>11556973.101798931</v>
      </c>
      <c r="K49" s="44">
        <f>J49</f>
        <v>11556973.101798931</v>
      </c>
      <c r="L49" s="44">
        <f>K49+L48</f>
        <v>12134313.068410136</v>
      </c>
      <c r="M49" s="44">
        <f>L49+M48</f>
        <v>10754671.711497959</v>
      </c>
      <c r="N49" s="44">
        <f>M49+N48</f>
        <v>9376279.780829614</v>
      </c>
      <c r="O49" s="44">
        <f>N49</f>
        <v>9376279.780829614</v>
      </c>
      <c r="P49" s="44">
        <f>O49+P48</f>
        <v>10362453.344292596</v>
      </c>
      <c r="Q49" s="44">
        <f>P49+Q48</f>
        <v>8977083.3115991689</v>
      </c>
      <c r="R49" s="44">
        <f>Q49+R48</f>
        <v>7668592.8436329886</v>
      </c>
      <c r="S49" s="44">
        <f>R49</f>
        <v>7668592.8436329886</v>
      </c>
      <c r="T49" s="44">
        <f>S49</f>
        <v>7668592.8436329886</v>
      </c>
      <c r="U49" s="44">
        <f>T49-C49</f>
        <v>7668592.8436329886</v>
      </c>
      <c r="V49" s="45">
        <f>IF(C49=0,0,U49/C49)</f>
        <v>0</v>
      </c>
      <c r="W49" s="45">
        <f>IF(AND(T$10,C$10),T49/T$10-C49/C$10,0)</f>
        <v>0</v>
      </c>
      <c r="X49" s="47" t="s">
        <v>4</v>
      </c>
    </row>
    <row r="50" spans="1:24" ht="30" customHeight="1" thickTop="1">
      <c r="A50" s="21" t="s">
        <v>53</v>
      </c>
      <c r="B50" s="12">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18">
        <v>0</v>
      </c>
      <c r="U50" s="37">
        <v>0</v>
      </c>
      <c r="V50" s="12">
        <v>0</v>
      </c>
      <c r="W50" s="12">
        <v>0</v>
      </c>
      <c r="X50" s="26" t="s">
        <v>4</v>
      </c>
    </row>
    <row r="51" spans="1:24">
      <c r="A51" s="21" t="s">
        <v>54</v>
      </c>
      <c r="B51" s="12">
        <v>0</v>
      </c>
      <c r="C51" s="37">
        <v>0</v>
      </c>
      <c r="D51" s="37">
        <v>0</v>
      </c>
      <c r="E51" s="37">
        <v>0</v>
      </c>
      <c r="F51" s="37">
        <v>0</v>
      </c>
      <c r="G51" s="37">
        <v>0</v>
      </c>
      <c r="H51" s="37">
        <v>0</v>
      </c>
      <c r="I51" s="37">
        <v>0</v>
      </c>
      <c r="J51" s="37">
        <v>0</v>
      </c>
      <c r="K51" s="37">
        <v>0</v>
      </c>
      <c r="L51" s="37">
        <v>0</v>
      </c>
      <c r="M51" s="37">
        <v>0</v>
      </c>
      <c r="N51" s="37">
        <v>0</v>
      </c>
      <c r="O51" s="37">
        <v>0</v>
      </c>
      <c r="P51" s="37">
        <v>0</v>
      </c>
      <c r="Q51" s="37">
        <v>0</v>
      </c>
      <c r="R51" s="37">
        <v>0</v>
      </c>
      <c r="S51" s="37">
        <v>0</v>
      </c>
      <c r="T51" s="18">
        <v>0</v>
      </c>
      <c r="U51" s="37">
        <v>0</v>
      </c>
      <c r="V51" s="12">
        <v>0</v>
      </c>
      <c r="W51" s="12">
        <v>0</v>
      </c>
      <c r="X51" s="26" t="s">
        <v>4</v>
      </c>
    </row>
    <row r="52" spans="1:24" ht="16" thickBot="1">
      <c r="A52" s="21" t="s">
        <v>55</v>
      </c>
      <c r="B52" s="12">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18">
        <v>8314784.2400000002</v>
      </c>
      <c r="U52" s="37">
        <v>0</v>
      </c>
      <c r="V52" s="12">
        <v>0</v>
      </c>
      <c r="W52" s="12">
        <v>0</v>
      </c>
      <c r="X52" s="26" t="s">
        <v>4</v>
      </c>
    </row>
    <row r="53" spans="1:24" ht="30" customHeight="1" thickTop="1">
      <c r="A53" s="48" t="s">
        <v>56</v>
      </c>
      <c r="B53" s="12">
        <v>0</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49">
        <f>GLEnrollment</f>
        <v>520</v>
      </c>
      <c r="U53" s="12">
        <v>0</v>
      </c>
      <c r="V53" s="12">
        <v>0</v>
      </c>
      <c r="W53" s="12">
        <v>0</v>
      </c>
      <c r="X53" s="26" t="s">
        <v>4</v>
      </c>
    </row>
    <row r="54" spans="1:24">
      <c r="A54" s="22" t="s">
        <v>57</v>
      </c>
      <c r="B54" s="12">
        <v>0</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50">
        <f>IF(T$53,T14/T$53,0)</f>
        <v>17607.89293630969</v>
      </c>
      <c r="U54" s="12">
        <v>0</v>
      </c>
      <c r="V54" s="12">
        <v>0</v>
      </c>
      <c r="W54" s="12">
        <v>0</v>
      </c>
      <c r="X54" s="26" t="s">
        <v>4</v>
      </c>
    </row>
    <row r="55" spans="1:24">
      <c r="A55" s="22" t="s">
        <v>58</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51">
        <f>IF(T$53,T4/T$53,0)</f>
        <v>3734.2819711538464</v>
      </c>
      <c r="U55" s="12">
        <v>0</v>
      </c>
      <c r="V55" s="12">
        <v>0</v>
      </c>
      <c r="W55" s="12">
        <v>0</v>
      </c>
      <c r="X55" s="26" t="s">
        <v>4</v>
      </c>
    </row>
    <row r="56" spans="1:24" ht="16" thickBot="1">
      <c r="A56" s="22" t="s">
        <v>59</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33">
        <f>IF(T$53,T31/T$53,0)</f>
        <v>4230.0161283052885</v>
      </c>
      <c r="U56" s="12">
        <v>0</v>
      </c>
      <c r="V56" s="12">
        <v>0</v>
      </c>
      <c r="W56" s="12">
        <v>0</v>
      </c>
      <c r="X56" s="26" t="s">
        <v>4</v>
      </c>
    </row>
    <row r="57" spans="1:24" ht="30" customHeight="1" thickTop="1">
      <c r="A57" s="20" t="s">
        <v>60</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52">
        <v>0</v>
      </c>
      <c r="U57" s="12">
        <v>0</v>
      </c>
      <c r="V57" s="12">
        <v>0</v>
      </c>
      <c r="W57" s="12">
        <v>0</v>
      </c>
      <c r="X57" s="26" t="s">
        <v>4</v>
      </c>
    </row>
    <row r="58" spans="1:24">
      <c r="A58" s="20" t="s">
        <v>61</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53">
        <v>67200</v>
      </c>
      <c r="U58" s="12">
        <v>0</v>
      </c>
      <c r="V58" s="12">
        <v>0</v>
      </c>
      <c r="W58" s="12">
        <v>0</v>
      </c>
      <c r="X58" s="26" t="s">
        <v>4</v>
      </c>
    </row>
    <row r="59" spans="1:24">
      <c r="A59" s="22" t="s">
        <v>62</v>
      </c>
      <c r="B59" s="12">
        <v>0</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50">
        <f>T57+T58</f>
        <v>67200</v>
      </c>
      <c r="U59" s="12">
        <v>0</v>
      </c>
      <c r="V59" s="12">
        <v>0</v>
      </c>
      <c r="W59" s="12">
        <v>0</v>
      </c>
      <c r="X59" s="26" t="s">
        <v>4</v>
      </c>
    </row>
    <row r="60" spans="1:24" ht="16" thickBot="1">
      <c r="A60" s="22" t="s">
        <v>63</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33">
        <f>IF(T$53,T59/T$53,0)</f>
        <v>129.23076923076923</v>
      </c>
      <c r="U60" s="12">
        <v>0</v>
      </c>
      <c r="V60" s="12">
        <v>0</v>
      </c>
      <c r="W60" s="12">
        <v>0</v>
      </c>
      <c r="X60" s="26" t="s">
        <v>4</v>
      </c>
    </row>
    <row r="61" spans="1:24" ht="30" customHeight="1" thickTop="1">
      <c r="A61" s="22" t="s">
        <v>64</v>
      </c>
      <c r="B61" s="12">
        <v>0</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5">
        <f>IF(T57,T29/T57,0)</f>
        <v>0</v>
      </c>
      <c r="U61" s="12">
        <v>0</v>
      </c>
      <c r="V61" s="12">
        <v>0</v>
      </c>
      <c r="W61" s="12">
        <v>0</v>
      </c>
      <c r="X61" s="26" t="s">
        <v>4</v>
      </c>
    </row>
    <row r="62" spans="1:24">
      <c r="A62" s="22" t="s">
        <v>65</v>
      </c>
      <c r="B62" s="12">
        <v>0</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54">
        <f>IF(T58,T30/T58,0)</f>
        <v>32.732267659505212</v>
      </c>
      <c r="U62" s="12">
        <v>0</v>
      </c>
      <c r="V62" s="12">
        <v>0</v>
      </c>
      <c r="W62" s="12">
        <v>0</v>
      </c>
      <c r="X62" s="26" t="s">
        <v>4</v>
      </c>
    </row>
    <row r="63" spans="1:24">
      <c r="A63" s="22" t="s">
        <v>66</v>
      </c>
      <c r="B63" s="12">
        <v>0</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54">
        <f>IF(T59,T31/T59,0)</f>
        <v>32.732267659505212</v>
      </c>
      <c r="U63" s="12">
        <v>0</v>
      </c>
      <c r="V63" s="12">
        <v>0</v>
      </c>
      <c r="W63" s="12">
        <v>0</v>
      </c>
      <c r="X63" s="26" t="s">
        <v>4</v>
      </c>
    </row>
    <row r="64" spans="1:24" ht="16" thickBot="1">
      <c r="A64" s="22" t="s">
        <v>67</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45">
        <f>IF(T4,T31/T4,0)</f>
        <v>1.1327522026940742</v>
      </c>
      <c r="U64" s="12">
        <v>0</v>
      </c>
      <c r="V64" s="12">
        <v>0</v>
      </c>
      <c r="W64" s="12">
        <v>0</v>
      </c>
      <c r="X64" s="26" t="s">
        <v>4</v>
      </c>
    </row>
    <row r="65" spans="1:24" ht="30" customHeight="1" thickTop="1">
      <c r="A65" s="22" t="s">
        <v>68</v>
      </c>
      <c r="B65" s="12">
        <v>0</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6">
        <f>IF(T10,T38/T10,0)</f>
        <v>1.0062098568418491E-2</v>
      </c>
      <c r="U65" s="12">
        <v>0</v>
      </c>
      <c r="V65" s="12">
        <v>0</v>
      </c>
      <c r="W65" s="12">
        <v>0</v>
      </c>
      <c r="X65" s="26" t="s">
        <v>4</v>
      </c>
    </row>
    <row r="66" spans="1:24">
      <c r="A66" s="22" t="s">
        <v>69</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6">
        <f>IF(T10,T45/T10,0)</f>
        <v>8.7702989727512934E-2</v>
      </c>
      <c r="U66" s="12">
        <v>0</v>
      </c>
      <c r="V66" s="12">
        <v>0</v>
      </c>
      <c r="W66" s="12">
        <v>0</v>
      </c>
      <c r="X66" s="26" t="s">
        <v>4</v>
      </c>
    </row>
    <row r="67" spans="1:24">
      <c r="A67" s="22" t="s">
        <v>70</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55">
        <f>IF(T37-T23-T24-T32,(T49-T50-T51+T52)/(T37-T23-T24-T32)*365,0)</f>
        <v>431.99708471885066</v>
      </c>
      <c r="U67" s="12">
        <v>0</v>
      </c>
      <c r="V67" s="12">
        <v>0</v>
      </c>
      <c r="W67" s="12">
        <v>0</v>
      </c>
      <c r="X67" s="26" t="s">
        <v>4</v>
      </c>
    </row>
    <row r="68" spans="1:24" ht="30" customHeight="1">
      <c r="A68" s="22" t="s">
        <v>71</v>
      </c>
      <c r="B68" s="12">
        <v>0</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6">
        <f>IF(T$37,T17/T$37,0)</f>
        <v>0.71769514952933855</v>
      </c>
      <c r="U68" s="12">
        <v>0</v>
      </c>
      <c r="V68" s="12">
        <v>0</v>
      </c>
      <c r="W68" s="12">
        <v>0</v>
      </c>
      <c r="X68" s="26" t="s">
        <v>4</v>
      </c>
    </row>
    <row r="69" spans="1:24">
      <c r="A69" s="22" t="s">
        <v>72</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6">
        <f>IF(T$37,T21/T$37,0)</f>
        <v>5.6137293604999416E-2</v>
      </c>
      <c r="U69" s="12">
        <v>0</v>
      </c>
      <c r="V69" s="12">
        <v>0</v>
      </c>
      <c r="W69" s="12">
        <v>0</v>
      </c>
      <c r="X69" s="26" t="s">
        <v>4</v>
      </c>
    </row>
    <row r="70" spans="1:24">
      <c r="A70" s="22" t="s">
        <v>73</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6">
        <f>IF(T$37,T31/T$37,0)</f>
        <v>0.15017673331980891</v>
      </c>
      <c r="U70" s="12">
        <v>0</v>
      </c>
      <c r="V70" s="12">
        <v>0</v>
      </c>
      <c r="W70" s="12">
        <v>0</v>
      </c>
      <c r="X70" s="26" t="s">
        <v>4</v>
      </c>
    </row>
    <row r="71" spans="1:24" ht="16" thickBot="1">
      <c r="A71" s="22" t="s">
        <v>74</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56">
        <f>IF(T$37,T36/T$37,0)</f>
        <v>7.5990823545852987E-2</v>
      </c>
      <c r="U71" s="12">
        <v>0</v>
      </c>
      <c r="V71" s="12">
        <v>0</v>
      </c>
      <c r="W71" s="12">
        <v>0</v>
      </c>
      <c r="X71" s="26" t="s">
        <v>4</v>
      </c>
    </row>
    <row r="72" spans="1:24" ht="30" customHeight="1" thickTop="1" thickBot="1">
      <c r="A72" s="22" t="s">
        <v>75</v>
      </c>
      <c r="B72" s="12">
        <v>0</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57">
        <f>IF(T$37,T44/T$37,0)</f>
        <v>0.55136057154636697</v>
      </c>
      <c r="U72" s="12">
        <v>0</v>
      </c>
      <c r="V72" s="12">
        <v>0</v>
      </c>
      <c r="W72" s="12">
        <v>0</v>
      </c>
      <c r="X72" s="26" t="s">
        <v>4</v>
      </c>
    </row>
    <row r="73" spans="1:24" ht="16" thickTop="1"/>
  </sheetData>
  <sheetProtection algorithmName="SHA-512" hashValue="WdPdO1c+lMDHw4U42tfGdnPVWpwPLbIw/85poK5IUoouQyf7zqtw9yc4SfyjScGP3qtzRcaUg0/Jub+dUK5ycA==" saltValue="uAH1VKRWsb/KKhQ3ZMdnPg==" spinCount="100000" sheet="1" objects="1" scenarios="1" selectLockedCells="1" selectUnlockedCells="1"/>
  <conditionalFormatting sqref="B11">
    <cfRule type="cellIs" dxfId="4" priority="3" operator="equal">
      <formula>0</formula>
    </cfRule>
  </conditionalFormatting>
  <conditionalFormatting sqref="B11:B12 B15:B16">
    <cfRule type="expression" dxfId="3" priority="2">
      <formula>B$11=0</formula>
    </cfRule>
  </conditionalFormatting>
  <conditionalFormatting sqref="D44 D49">
    <cfRule type="cellIs" dxfId="2" priority="1" operator="equal">
      <formula>0</formula>
    </cfRule>
  </conditionalFormatting>
  <conditionalFormatting sqref="D1:X43 E49:X49 A11:A16 A44:C44 E44:X44 D45:X48 A49:C49 A50:X72">
    <cfRule type="containsBlanks" dxfId="1" priority="5">
      <formula>LEN(TRIM(A1))=0</formula>
    </cfRule>
  </conditionalFormatting>
  <conditionalFormatting sqref="X2:X9 X11:X13 X15:X16 X18:X20 X22:X28 X32:X35 X49">
    <cfRule type="expression" dxfId="0" priority="4">
      <formula>VLOOKUP(A2,OutOfRange,11,FALSE)=1</formula>
    </cfRule>
  </conditionalFormatting>
  <dataValidations count="6">
    <dataValidation type="whole" operator="greaterThanOrEqual" allowBlank="1" showInputMessage="1" showErrorMessage="1" error="Enter Whole Number" sqref="T57:T58">
      <formula1>0</formula1>
    </dataValidation>
    <dataValidation type="decimal" operator="greaterThanOrEqual" allowBlank="1" showInputMessage="1" showErrorMessage="1" error="Enter Whole Number" sqref="T50:T52 C11:F13 H11:J13 L11:N13 P11:R13 C15:F16 H15:J16 L15:N16 P15:R16 C18:F20 H18:J20 L18:N20 P18:R20 C22:F28 H22:J28 L22:N28 P22:R28 C32:F35 H32:J35 L32:N35 P32:R35 P2:R9 L2:N9 H2:J9 C2:F9 C44 C49">
      <formula1>0</formula1>
    </dataValidation>
    <dataValidation type="whole" operator="greaterThan" allowBlank="1" showInputMessage="1" showErrorMessage="1" error="Enter Whole Number" sqref="D44 D49">
      <formula1>0</formula1>
    </dataValidation>
    <dataValidation type="decimal" allowBlank="1" showInputMessage="1" showErrorMessage="1" error="Enter Whole Number" sqref="P45:R47 D39:F39 D41:F41 D45:F47 H39:J39 H41:J41 H45:J47 L39:N39 L41:N41 L45:N47 P39:R39 P41:R41">
      <formula1>-1000000000</formula1>
      <formula2>1000000000</formula2>
    </dataValidation>
    <dataValidation type="whole" allowBlank="1" showInputMessage="1" showErrorMessage="1" error="Enter Whole Number" sqref="T53">
      <formula1>-1000000000</formula1>
      <formula2>1000000000</formula2>
    </dataValidation>
    <dataValidation type="whole" allowBlank="1" showInputMessage="1" showErrorMessage="1" sqref="B15:B16 B11:B13">
      <formula1>0</formula1>
      <formula2>10000</formula2>
    </dataValidation>
  </dataValidations>
  <pageMargins left="0.7" right="0.7" top="0.75" bottom="0.75" header="0.3" footer="0.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FY25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Mesterharm</dc:creator>
  <cp:lastModifiedBy>Kate Keplinger</cp:lastModifiedBy>
  <dcterms:created xsi:type="dcterms:W3CDTF">2024-12-11T23:00:26Z</dcterms:created>
  <dcterms:modified xsi:type="dcterms:W3CDTF">2024-12-12T16:18:26Z</dcterms:modified>
</cp:coreProperties>
</file>